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Patio de Maquinas\Patio de Maquinas\Projeto e Orçamento Correto\"/>
    </mc:Choice>
  </mc:AlternateContent>
  <workbookProtection workbookAlgorithmName="SHA-512" workbookHashValue="tP1tkMksO52BDTVjOTzo2t5QsP8eKiViuP0/ru0GmkIVWpUfyypKQ8ucZ31gsT40CqjN/79RahtOahYbBT4gow==" workbookSaltValue="eAsiBx6nZmNJxpfgg2T+mQ==" workbookSpinCount="100000" lockStructure="1"/>
  <bookViews>
    <workbookView xWindow="0" yWindow="0" windowWidth="19200" windowHeight="11490" tabRatio="801" activeTab="7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62913"/>
</workbook>
</file>

<file path=xl/calcChain.xml><?xml version="1.0" encoding="utf-8"?>
<calcChain xmlns="http://schemas.openxmlformats.org/spreadsheetml/2006/main">
  <c r="F47" i="2" l="1"/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/>
  <c r="A20" i="11"/>
  <c r="J19" i="11"/>
  <c r="I19" i="13" s="1"/>
  <c r="D19" i="11"/>
  <c r="E19" i="13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A15" i="1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49" i="7" s="1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/>
  <c r="C14" i="15"/>
  <c r="L39" i="13"/>
  <c r="P85" i="4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O7" i="11" s="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O7" i="13" s="1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1" i="4"/>
  <c r="K50" i="4"/>
  <c r="W77" i="10"/>
  <c r="K130" i="4"/>
  <c r="C45" i="4"/>
  <c r="C33" i="4"/>
  <c r="A21" i="11"/>
  <c r="E21" i="13"/>
  <c r="E12" i="13"/>
  <c r="W78" i="10"/>
  <c r="K69" i="10"/>
  <c r="M69" i="10" s="1"/>
  <c r="O69" i="10"/>
  <c r="Q69" i="10" s="1"/>
  <c r="S69" i="10" s="1"/>
  <c r="U69" i="10" s="1"/>
  <c r="W69" i="10"/>
  <c r="Y69" i="10" s="1"/>
  <c r="AA69" i="10" s="1"/>
  <c r="AC69" i="10" s="1"/>
  <c r="AE69" i="10" s="1"/>
  <c r="A16" i="11"/>
  <c r="A17" i="11"/>
  <c r="A18" i="11"/>
  <c r="K92" i="4"/>
  <c r="K91" i="4"/>
  <c r="K90" i="4"/>
  <c r="C3" i="4"/>
  <c r="T282" i="5"/>
  <c r="T283" i="5"/>
  <c r="T281" i="5"/>
  <c r="K278" i="12"/>
  <c r="K131" i="4"/>
  <c r="E14" i="13"/>
  <c r="A14" i="11"/>
  <c r="O8" i="5"/>
  <c r="AN13" i="6" l="1"/>
  <c r="AO13" i="6" s="1"/>
  <c r="AP13" i="6" s="1"/>
  <c r="AP12" i="6" s="1"/>
  <c r="E23" i="13"/>
  <c r="B16" i="5"/>
  <c r="Z180" i="8"/>
  <c r="I273" i="6"/>
  <c r="Z178" i="8"/>
  <c r="I105" i="4"/>
  <c r="F25" i="7"/>
  <c r="F21" i="7"/>
  <c r="I99" i="4"/>
  <c r="F54" i="7"/>
  <c r="F16" i="7"/>
  <c r="F51" i="7"/>
  <c r="H12" i="9"/>
  <c r="I12" i="9" s="1"/>
  <c r="F18" i="7"/>
  <c r="I122" i="4"/>
  <c r="I108" i="4"/>
  <c r="I130" i="4"/>
  <c r="F33" i="7"/>
  <c r="F45" i="7"/>
  <c r="F40" i="7"/>
  <c r="F46" i="7"/>
  <c r="F43" i="7"/>
  <c r="AB12" i="6"/>
  <c r="F41" i="7"/>
  <c r="I123" i="4"/>
  <c r="I117" i="4"/>
  <c r="I113" i="4"/>
  <c r="I94" i="4"/>
  <c r="I129" i="4"/>
  <c r="F20" i="7"/>
  <c r="F61" i="7"/>
  <c r="F32" i="7"/>
  <c r="H15" i="10"/>
  <c r="F26" i="7"/>
  <c r="F59" i="7"/>
  <c r="F23" i="7"/>
  <c r="I12" i="10"/>
  <c r="I11" i="10" s="1"/>
  <c r="F19" i="7"/>
  <c r="F37" i="7"/>
  <c r="F15" i="7"/>
  <c r="A15" i="10" s="1"/>
  <c r="F63" i="7"/>
  <c r="F28" i="7"/>
  <c r="F36" i="7"/>
  <c r="F24" i="7"/>
  <c r="I106" i="4"/>
  <c r="I127" i="4"/>
  <c r="I131" i="4"/>
  <c r="I96" i="4"/>
  <c r="I114" i="4"/>
  <c r="I102" i="4"/>
  <c r="I121" i="4"/>
  <c r="I111" i="4"/>
  <c r="I112" i="4"/>
  <c r="F22" i="7"/>
  <c r="F35" i="7"/>
  <c r="F52" i="7"/>
  <c r="F14" i="7"/>
  <c r="O282" i="5"/>
  <c r="F64" i="7"/>
  <c r="F47" i="7"/>
  <c r="F34" i="7"/>
  <c r="F53" i="7"/>
  <c r="F39" i="7"/>
  <c r="F57" i="7"/>
  <c r="F44" i="7"/>
  <c r="F27" i="7"/>
  <c r="F56" i="7"/>
  <c r="F38" i="7"/>
  <c r="F17" i="7"/>
  <c r="I274" i="6"/>
  <c r="P125" i="4"/>
  <c r="F42" i="7"/>
  <c r="F30" i="7"/>
  <c r="F60" i="7"/>
  <c r="F58" i="7"/>
  <c r="F50" i="7"/>
  <c r="F29" i="7"/>
  <c r="G15" i="9"/>
  <c r="M15" i="6"/>
  <c r="F48" i="7"/>
  <c r="F55" i="7"/>
  <c r="F31" i="7"/>
  <c r="F62" i="7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BE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R17" i="5" s="1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E16" i="5"/>
  <c r="AD16" i="5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O12" i="6" l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E17" i="5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AZ12" i="6"/>
  <c r="E16" i="12"/>
  <c r="F16" i="6"/>
  <c r="AQ13" i="6"/>
  <c r="AQ12" i="6" s="1"/>
  <c r="BG14" i="6"/>
  <c r="BB14" i="6"/>
  <c r="BF14" i="6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BA14" i="6"/>
  <c r="BC14" i="6"/>
  <c r="AN14" i="6"/>
  <c r="BD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B8" i="14"/>
  <c r="T14" i="5"/>
  <c r="AC14" i="6"/>
  <c r="B18" i="7"/>
  <c r="C19" i="7"/>
  <c r="B14" i="11"/>
  <c r="A14" i="13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H17" i="6" l="1"/>
  <c r="AN17" i="6"/>
  <c r="BC17" i="6"/>
  <c r="E18" i="5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AF12" i="6"/>
  <c r="AG13" i="6"/>
  <c r="T17" i="5"/>
  <c r="G17" i="12" s="1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AD17" i="6" l="1"/>
  <c r="K11" i="10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A18" i="6"/>
  <c r="M18" i="6" s="1"/>
  <c r="AS18" i="6" s="1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X25" i="4" s="1"/>
  <c r="C18" i="4"/>
  <c r="BB12" i="6"/>
  <c r="BC13" i="6"/>
  <c r="C24" i="4"/>
  <c r="Y61" i="4" s="1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L14" i="5"/>
  <c r="C14" i="6" s="1"/>
  <c r="AM14" i="5"/>
  <c r="Z14" i="5"/>
  <c r="AA14" i="5" s="1"/>
  <c r="A20" i="12"/>
  <c r="L20" i="12" s="1"/>
  <c r="G20" i="5"/>
  <c r="J20" i="5"/>
  <c r="E20" i="5"/>
  <c r="K20" i="5"/>
  <c r="N18" i="6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AN18" i="6"/>
  <c r="AM18" i="6"/>
  <c r="AT18" i="6"/>
  <c r="AP18" i="6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Y102" i="4"/>
  <c r="X105" i="4"/>
  <c r="X104" i="4"/>
  <c r="X24" i="4"/>
  <c r="Z24" i="4"/>
  <c r="Z102" i="4"/>
  <c r="Y104" i="4"/>
  <c r="BD13" i="6"/>
  <c r="BC12" i="6"/>
  <c r="Z65" i="4"/>
  <c r="X63" i="4"/>
  <c r="Z22" i="4"/>
  <c r="X62" i="4"/>
  <c r="X101" i="4"/>
  <c r="Z109" i="4"/>
  <c r="Y105" i="4"/>
  <c r="X61" i="4"/>
  <c r="Y22" i="4"/>
  <c r="Y24" i="4"/>
  <c r="X109" i="4"/>
  <c r="U109" i="4" s="1"/>
  <c r="Z25" i="4"/>
  <c r="AG17" i="6"/>
  <c r="AG14" i="6"/>
  <c r="AG16" i="6"/>
  <c r="AT14" i="6"/>
  <c r="AU13" i="6"/>
  <c r="AU18" i="6" s="1"/>
  <c r="AT12" i="6"/>
  <c r="AD18" i="6"/>
  <c r="AR18" i="6"/>
  <c r="AO18" i="6"/>
  <c r="AY18" i="6"/>
  <c r="BC18" i="6"/>
  <c r="AX18" i="6"/>
  <c r="AH12" i="6"/>
  <c r="AH18" i="6" s="1"/>
  <c r="AI13" i="6"/>
  <c r="L11" i="9"/>
  <c r="M12" i="9"/>
  <c r="B21" i="7"/>
  <c r="C22" i="7"/>
  <c r="H19" i="6"/>
  <c r="T19" i="5" s="1"/>
  <c r="C14" i="12"/>
  <c r="M14" i="12"/>
  <c r="O14" i="12"/>
  <c r="AO14" i="12"/>
  <c r="A19" i="6"/>
  <c r="N19" i="6" s="1"/>
  <c r="AG18" i="6"/>
  <c r="AF18" i="6"/>
  <c r="AZ18" i="6"/>
  <c r="AB18" i="6"/>
  <c r="AE18" i="6"/>
  <c r="AQ18" i="6"/>
  <c r="BA18" i="6"/>
  <c r="AC18" i="6"/>
  <c r="BB18" i="6"/>
  <c r="G18" i="12"/>
  <c r="X18" i="5"/>
  <c r="U29" i="4" l="1"/>
  <c r="J32" i="4" s="1"/>
  <c r="O14" i="5"/>
  <c r="J20" i="12"/>
  <c r="K20" i="12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W22" i="5" s="1"/>
  <c r="H22" i="12" s="1"/>
  <c r="O12" i="10"/>
  <c r="N11" i="10"/>
  <c r="K112" i="4"/>
  <c r="J112" i="4"/>
  <c r="BD12" i="6"/>
  <c r="BE13" i="6"/>
  <c r="BD18" i="6"/>
  <c r="K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A20" i="6"/>
  <c r="N20" i="6" s="1"/>
  <c r="B22" i="7"/>
  <c r="C23" i="7"/>
  <c r="M11" i="9"/>
  <c r="N12" i="9"/>
  <c r="D14" i="12"/>
  <c r="E14" i="6"/>
  <c r="AM18" i="5"/>
  <c r="I18" i="12"/>
  <c r="L18" i="5"/>
  <c r="Z18" i="5"/>
  <c r="I18" i="5"/>
  <c r="H20" i="6"/>
  <c r="T20" i="5" s="1"/>
  <c r="N14" i="12"/>
  <c r="M19" i="6"/>
  <c r="AD19" i="6" s="1"/>
  <c r="H22" i="5" l="1"/>
  <c r="B22" i="6"/>
  <c r="G22" i="5"/>
  <c r="AD22" i="5"/>
  <c r="F22" i="5"/>
  <c r="M20" i="6"/>
  <c r="AO20" i="6" s="1"/>
  <c r="C23" i="5"/>
  <c r="A22" i="12"/>
  <c r="E22" i="5"/>
  <c r="B22" i="5"/>
  <c r="AE22" i="5"/>
  <c r="N22" i="5"/>
  <c r="D22" i="6" s="1"/>
  <c r="X14" i="12"/>
  <c r="P12" i="10"/>
  <c r="O11" i="10"/>
  <c r="BE12" i="6"/>
  <c r="BF13" i="6"/>
  <c r="BF19" i="6" s="1"/>
  <c r="BE18" i="6"/>
  <c r="AV12" i="6"/>
  <c r="AV14" i="6"/>
  <c r="AV18" i="6"/>
  <c r="AI16" i="6"/>
  <c r="AI17" i="6"/>
  <c r="AI14" i="6"/>
  <c r="AI18" i="6"/>
  <c r="AK13" i="6"/>
  <c r="AK12" i="6" s="1"/>
  <c r="AJ12" i="6"/>
  <c r="AJ19" i="6" s="1"/>
  <c r="AS19" i="6"/>
  <c r="BC19" i="6"/>
  <c r="AO19" i="6"/>
  <c r="AY19" i="6"/>
  <c r="BB19" i="6"/>
  <c r="AU19" i="6"/>
  <c r="AZ19" i="6"/>
  <c r="AQ19" i="6"/>
  <c r="AR19" i="6"/>
  <c r="BA19" i="6"/>
  <c r="BD19" i="6"/>
  <c r="AV19" i="6"/>
  <c r="AP19" i="6"/>
  <c r="AX19" i="6"/>
  <c r="AN19" i="6"/>
  <c r="AM19" i="6"/>
  <c r="BE19" i="6"/>
  <c r="AT19" i="6"/>
  <c r="AE19" i="6"/>
  <c r="G20" i="12"/>
  <c r="X20" i="5"/>
  <c r="AB18" i="5"/>
  <c r="C18" i="12"/>
  <c r="O18" i="12"/>
  <c r="M18" i="12"/>
  <c r="AO18" i="12"/>
  <c r="O12" i="9"/>
  <c r="N11" i="9"/>
  <c r="B23" i="7"/>
  <c r="C24" i="7"/>
  <c r="AB19" i="6"/>
  <c r="AC19" i="6"/>
  <c r="L19" i="5"/>
  <c r="AM19" i="5"/>
  <c r="I19" i="12"/>
  <c r="Z19" i="5"/>
  <c r="I19" i="5"/>
  <c r="A21" i="6"/>
  <c r="N21" i="6" s="1"/>
  <c r="AI19" i="6"/>
  <c r="AH19" i="6"/>
  <c r="H21" i="6"/>
  <c r="T21" i="5" s="1"/>
  <c r="C18" i="6"/>
  <c r="AG19" i="6"/>
  <c r="AF19" i="6"/>
  <c r="T14" i="12"/>
  <c r="V14" i="12"/>
  <c r="U14" i="12"/>
  <c r="K21" i="12"/>
  <c r="G23" i="5" l="1"/>
  <c r="AE20" i="6"/>
  <c r="AF20" i="6"/>
  <c r="AH20" i="6"/>
  <c r="AX20" i="6"/>
  <c r="AV20" i="6"/>
  <c r="AT20" i="6"/>
  <c r="Y18" i="12"/>
  <c r="X18" i="12" s="1"/>
  <c r="AB20" i="6"/>
  <c r="AD23" i="5"/>
  <c r="AS20" i="6"/>
  <c r="AG20" i="6"/>
  <c r="AI20" i="6"/>
  <c r="BC20" i="6"/>
  <c r="BE20" i="6"/>
  <c r="AK20" i="6"/>
  <c r="AZ20" i="6"/>
  <c r="BA20" i="6"/>
  <c r="BD20" i="6"/>
  <c r="AQ20" i="6"/>
  <c r="AP20" i="6"/>
  <c r="AR20" i="6"/>
  <c r="BB20" i="6"/>
  <c r="AN20" i="6"/>
  <c r="AY20" i="6"/>
  <c r="AD20" i="6"/>
  <c r="AC20" i="6"/>
  <c r="A22" i="6"/>
  <c r="M22" i="6" s="1"/>
  <c r="AP22" i="6" s="1"/>
  <c r="AM20" i="6"/>
  <c r="AU20" i="6"/>
  <c r="D23" i="5"/>
  <c r="B23" i="12" s="1"/>
  <c r="AE23" i="5"/>
  <c r="W23" i="5"/>
  <c r="H23" i="12" s="1"/>
  <c r="H23" i="5"/>
  <c r="J23" i="5"/>
  <c r="F23" i="5"/>
  <c r="A23" i="12"/>
  <c r="J23" i="12" s="1"/>
  <c r="K23" i="5"/>
  <c r="E23" i="5"/>
  <c r="B23" i="6"/>
  <c r="B23" i="5"/>
  <c r="C24" i="5" s="1"/>
  <c r="N23" i="5"/>
  <c r="D23" i="6" s="1"/>
  <c r="M21" i="6"/>
  <c r="AV21" i="6" s="1"/>
  <c r="Q12" i="10"/>
  <c r="P11" i="10"/>
  <c r="BF12" i="6"/>
  <c r="BG13" i="6"/>
  <c r="BF18" i="6"/>
  <c r="BF20" i="6"/>
  <c r="AK14" i="6"/>
  <c r="AK16" i="6"/>
  <c r="AK17" i="6"/>
  <c r="AK18" i="6"/>
  <c r="AK19" i="6"/>
  <c r="AJ17" i="6"/>
  <c r="AJ14" i="6"/>
  <c r="AJ16" i="6"/>
  <c r="AJ18" i="6"/>
  <c r="AJ20" i="6"/>
  <c r="H22" i="6"/>
  <c r="T22" i="5" s="1"/>
  <c r="G22" i="12" s="1"/>
  <c r="C19" i="12"/>
  <c r="O19" i="12"/>
  <c r="AO19" i="12"/>
  <c r="M19" i="12"/>
  <c r="C19" i="6"/>
  <c r="O19" i="5"/>
  <c r="O11" i="9"/>
  <c r="P12" i="9"/>
  <c r="G21" i="12"/>
  <c r="X21" i="5"/>
  <c r="AA19" i="5"/>
  <c r="AB19" i="5"/>
  <c r="C25" i="7"/>
  <c r="B24" i="7"/>
  <c r="N18" i="12"/>
  <c r="I20" i="12"/>
  <c r="L20" i="5"/>
  <c r="AM20" i="5"/>
  <c r="Z20" i="5"/>
  <c r="I20" i="5"/>
  <c r="L23" i="12" l="1"/>
  <c r="K23" i="12" s="1"/>
  <c r="F24" i="5"/>
  <c r="R24" i="5"/>
  <c r="W18" i="12"/>
  <c r="T18" i="12" s="1"/>
  <c r="AC21" i="6"/>
  <c r="AG21" i="6"/>
  <c r="A23" i="6"/>
  <c r="N23" i="6" s="1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AQ21" i="6"/>
  <c r="N24" i="5"/>
  <c r="D24" i="6" s="1"/>
  <c r="H24" i="5"/>
  <c r="AR21" i="6"/>
  <c r="C25" i="5"/>
  <c r="B25" i="6" s="1"/>
  <c r="E24" i="5"/>
  <c r="B24" i="6"/>
  <c r="BD21" i="6"/>
  <c r="AZ21" i="6"/>
  <c r="AT21" i="6"/>
  <c r="AE24" i="5"/>
  <c r="A24" i="12"/>
  <c r="AD24" i="5"/>
  <c r="B24" i="5"/>
  <c r="G24" i="5"/>
  <c r="W24" i="5"/>
  <c r="H24" i="12" s="1"/>
  <c r="AJ21" i="6"/>
  <c r="BA21" i="6"/>
  <c r="BG21" i="6"/>
  <c r="AS21" i="6"/>
  <c r="AE21" i="6"/>
  <c r="AU21" i="6"/>
  <c r="AX21" i="6"/>
  <c r="AG22" i="6"/>
  <c r="AI21" i="6"/>
  <c r="BB21" i="6"/>
  <c r="AY21" i="6"/>
  <c r="BE21" i="6"/>
  <c r="AP21" i="6"/>
  <c r="AK21" i="6"/>
  <c r="BC21" i="6"/>
  <c r="AM21" i="6"/>
  <c r="AO21" i="6"/>
  <c r="AN21" i="6"/>
  <c r="AB21" i="6"/>
  <c r="AH21" i="6"/>
  <c r="AF21" i="6"/>
  <c r="AD22" i="6"/>
  <c r="BF21" i="6"/>
  <c r="AD21" i="6"/>
  <c r="Q11" i="10"/>
  <c r="R12" i="10"/>
  <c r="BG12" i="6"/>
  <c r="BG18" i="6"/>
  <c r="BG19" i="6"/>
  <c r="BG20" i="6"/>
  <c r="AE22" i="6"/>
  <c r="AJ22" i="6"/>
  <c r="AB22" i="6"/>
  <c r="AC22" i="6"/>
  <c r="AF22" i="6"/>
  <c r="AK22" i="6"/>
  <c r="AB20" i="5"/>
  <c r="AA20" i="5"/>
  <c r="C20" i="6"/>
  <c r="O20" i="5"/>
  <c r="E19" i="6"/>
  <c r="D19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U18" i="12" l="1"/>
  <c r="V18" i="12"/>
  <c r="N20" i="12"/>
  <c r="M23" i="6"/>
  <c r="AV23" i="6" s="1"/>
  <c r="H25" i="5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X23" i="5"/>
  <c r="AA21" i="5"/>
  <c r="AB21" i="5"/>
  <c r="C21" i="6"/>
  <c r="O21" i="5"/>
  <c r="B26" i="7"/>
  <c r="C27" i="7"/>
  <c r="E20" i="6"/>
  <c r="D20" i="12"/>
  <c r="H24" i="6"/>
  <c r="T24" i="5" s="1"/>
  <c r="C21" i="12"/>
  <c r="O21" i="12"/>
  <c r="M21" i="12"/>
  <c r="AO21" i="12"/>
  <c r="Y20" i="12"/>
  <c r="A24" i="6"/>
  <c r="N24" i="6" s="1"/>
  <c r="AM23" i="6" l="1"/>
  <c r="Y21" i="12"/>
  <c r="X21" i="12" s="1"/>
  <c r="AB23" i="6"/>
  <c r="AD23" i="6"/>
  <c r="L25" i="12"/>
  <c r="K25" i="12" s="1"/>
  <c r="H26" i="5"/>
  <c r="AI23" i="6"/>
  <c r="BA23" i="6"/>
  <c r="AS23" i="6"/>
  <c r="AG23" i="6"/>
  <c r="AU23" i="6"/>
  <c r="AT23" i="6"/>
  <c r="AC23" i="6"/>
  <c r="AQ23" i="6"/>
  <c r="AY23" i="6"/>
  <c r="BF23" i="6"/>
  <c r="AJ23" i="6"/>
  <c r="AH23" i="6"/>
  <c r="AF23" i="6"/>
  <c r="BD23" i="6"/>
  <c r="BE23" i="6"/>
  <c r="AE23" i="6"/>
  <c r="BC23" i="6"/>
  <c r="AK23" i="6"/>
  <c r="AN23" i="6"/>
  <c r="AO23" i="6"/>
  <c r="BB23" i="6"/>
  <c r="AZ23" i="6"/>
  <c r="AP23" i="6"/>
  <c r="BG23" i="6"/>
  <c r="AX23" i="6"/>
  <c r="AR23" i="6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W21" i="12"/>
  <c r="G24" i="12"/>
  <c r="B27" i="7"/>
  <c r="C28" i="7"/>
  <c r="E21" i="6"/>
  <c r="D21" i="12"/>
  <c r="I23" i="12"/>
  <c r="L23" i="5"/>
  <c r="AM23" i="5"/>
  <c r="Z23" i="5"/>
  <c r="A25" i="6"/>
  <c r="H25" i="6"/>
  <c r="T25" i="5" s="1"/>
  <c r="X20" i="12"/>
  <c r="W20" i="12"/>
  <c r="M24" i="6"/>
  <c r="AI24" i="6" s="1"/>
  <c r="R11" i="9"/>
  <c r="S12" i="9"/>
  <c r="T19" i="12"/>
  <c r="U19" i="12"/>
  <c r="V19" i="12"/>
  <c r="L26" i="12" l="1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AD24" i="6"/>
  <c r="AE24" i="6"/>
  <c r="T11" i="10"/>
  <c r="U12" i="10"/>
  <c r="AJ24" i="6"/>
  <c r="M25" i="6"/>
  <c r="AB25" i="6" s="1"/>
  <c r="AC24" i="6"/>
  <c r="H26" i="6"/>
  <c r="T26" i="5" s="1"/>
  <c r="AB23" i="5"/>
  <c r="AA23" i="5"/>
  <c r="C23" i="12"/>
  <c r="O23" i="12"/>
  <c r="M23" i="12"/>
  <c r="AO23" i="12"/>
  <c r="T21" i="12"/>
  <c r="U21" i="12"/>
  <c r="V21" i="12"/>
  <c r="T12" i="9"/>
  <c r="S11" i="9"/>
  <c r="BB24" i="6"/>
  <c r="AM24" i="6"/>
  <c r="BC24" i="6"/>
  <c r="AR24" i="6"/>
  <c r="AU24" i="6"/>
  <c r="BA24" i="6"/>
  <c r="AY24" i="6"/>
  <c r="BG24" i="6"/>
  <c r="AX24" i="6"/>
  <c r="AZ24" i="6"/>
  <c r="AS24" i="6"/>
  <c r="AO24" i="6"/>
  <c r="BE24" i="6"/>
  <c r="AP24" i="6"/>
  <c r="AV24" i="6"/>
  <c r="AN24" i="6"/>
  <c r="AT24" i="6"/>
  <c r="BD24" i="6"/>
  <c r="AQ24" i="6"/>
  <c r="AF24" i="6"/>
  <c r="BF24" i="6"/>
  <c r="AG24" i="6"/>
  <c r="AH24" i="6"/>
  <c r="AB24" i="6"/>
  <c r="U20" i="12"/>
  <c r="V20" i="12"/>
  <c r="T20" i="12"/>
  <c r="G25" i="12"/>
  <c r="X25" i="5"/>
  <c r="C23" i="6"/>
  <c r="O23" i="5"/>
  <c r="C29" i="7"/>
  <c r="B28" i="7"/>
  <c r="L27" i="12"/>
  <c r="J27" i="12"/>
  <c r="AK24" i="6"/>
  <c r="M26" i="6" l="1"/>
  <c r="AV26" i="6" s="1"/>
  <c r="AQ25" i="6"/>
  <c r="W28" i="5"/>
  <c r="H28" i="12" s="1"/>
  <c r="Y23" i="12"/>
  <c r="W23" i="12" s="1"/>
  <c r="AG25" i="6"/>
  <c r="D28" i="5"/>
  <c r="B28" i="12" s="1"/>
  <c r="J28" i="5"/>
  <c r="C29" i="5"/>
  <c r="J29" i="5" s="1"/>
  <c r="K28" i="5"/>
  <c r="H28" i="5"/>
  <c r="B28" i="5"/>
  <c r="G28" i="5"/>
  <c r="E28" i="5"/>
  <c r="AE28" i="5"/>
  <c r="A28" i="12"/>
  <c r="L28" i="12" s="1"/>
  <c r="F28" i="5"/>
  <c r="AD28" i="5"/>
  <c r="B28" i="6"/>
  <c r="AD25" i="6"/>
  <c r="AI25" i="6"/>
  <c r="BD25" i="6"/>
  <c r="AS25" i="6"/>
  <c r="AJ25" i="6"/>
  <c r="AP25" i="6"/>
  <c r="AY25" i="6"/>
  <c r="AE25" i="6"/>
  <c r="AX25" i="6"/>
  <c r="AU25" i="6"/>
  <c r="AN25" i="6"/>
  <c r="V12" i="10"/>
  <c r="U11" i="10"/>
  <c r="AH25" i="6"/>
  <c r="AM25" i="6"/>
  <c r="BC25" i="6"/>
  <c r="AR25" i="6"/>
  <c r="AK25" i="6"/>
  <c r="AZ25" i="6"/>
  <c r="BE25" i="6"/>
  <c r="BA25" i="6"/>
  <c r="AC25" i="6"/>
  <c r="BB25" i="6"/>
  <c r="BF25" i="6"/>
  <c r="BG25" i="6"/>
  <c r="AF25" i="6"/>
  <c r="AV25" i="6"/>
  <c r="AT25" i="6"/>
  <c r="AO25" i="6"/>
  <c r="K27" i="12"/>
  <c r="D28" i="6"/>
  <c r="C30" i="7"/>
  <c r="B29" i="7"/>
  <c r="U12" i="9"/>
  <c r="T11" i="9"/>
  <c r="H27" i="6"/>
  <c r="T27" i="5" s="1"/>
  <c r="A27" i="6"/>
  <c r="D23" i="12"/>
  <c r="E23" i="6"/>
  <c r="L25" i="5"/>
  <c r="I25" i="12"/>
  <c r="AM25" i="5"/>
  <c r="Z25" i="5"/>
  <c r="N23" i="12"/>
  <c r="G26" i="12"/>
  <c r="X26" i="5"/>
  <c r="AU26" i="6" l="1"/>
  <c r="AS26" i="6"/>
  <c r="AZ26" i="6"/>
  <c r="AC26" i="6"/>
  <c r="BF26" i="6"/>
  <c r="BB26" i="6"/>
  <c r="BA26" i="6"/>
  <c r="AF26" i="6"/>
  <c r="BE26" i="6"/>
  <c r="AM26" i="6"/>
  <c r="AO26" i="6"/>
  <c r="AK26" i="6"/>
  <c r="BD26" i="6"/>
  <c r="AY26" i="6"/>
  <c r="AN26" i="6"/>
  <c r="AI26" i="6"/>
  <c r="AR26" i="6"/>
  <c r="AB26" i="6"/>
  <c r="AT26" i="6"/>
  <c r="AH26" i="6"/>
  <c r="AP26" i="6"/>
  <c r="AJ26" i="6"/>
  <c r="AX26" i="6"/>
  <c r="AD26" i="6"/>
  <c r="AQ26" i="6"/>
  <c r="AG26" i="6"/>
  <c r="BC26" i="6"/>
  <c r="AE26" i="6"/>
  <c r="BG26" i="6"/>
  <c r="X23" i="12"/>
  <c r="F29" i="5"/>
  <c r="B29" i="6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A28" i="6"/>
  <c r="AB25" i="5"/>
  <c r="C25" i="6"/>
  <c r="G27" i="12"/>
  <c r="X27" i="5"/>
  <c r="L26" i="5"/>
  <c r="AM26" i="5"/>
  <c r="I26" i="12"/>
  <c r="Z26" i="5"/>
  <c r="U23" i="12"/>
  <c r="V23" i="12"/>
  <c r="T23" i="12"/>
  <c r="C25" i="12"/>
  <c r="M25" i="12"/>
  <c r="AO25" i="12"/>
  <c r="O25" i="12"/>
  <c r="M27" i="6"/>
  <c r="AK27" i="6" s="1"/>
  <c r="V12" i="9"/>
  <c r="U11" i="9"/>
  <c r="B30" i="7"/>
  <c r="C31" i="7"/>
  <c r="H28" i="6"/>
  <c r="T28" i="5" s="1"/>
  <c r="E30" i="5" l="1"/>
  <c r="AD30" i="5"/>
  <c r="N25" i="12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M28" i="6"/>
  <c r="BF28" i="6" s="1"/>
  <c r="A29" i="6"/>
  <c r="W11" i="10"/>
  <c r="X12" i="10"/>
  <c r="AB27" i="6"/>
  <c r="AC27" i="6"/>
  <c r="AJ27" i="6"/>
  <c r="Y25" i="12"/>
  <c r="W25" i="12" s="1"/>
  <c r="W12" i="9"/>
  <c r="V11" i="9"/>
  <c r="I27" i="12"/>
  <c r="AM27" i="5"/>
  <c r="L27" i="5"/>
  <c r="Z27" i="5"/>
  <c r="G28" i="12"/>
  <c r="X28" i="5"/>
  <c r="B31" i="7"/>
  <c r="C32" i="7"/>
  <c r="BG27" i="6"/>
  <c r="AN27" i="6"/>
  <c r="AQ27" i="6"/>
  <c r="BC27" i="6"/>
  <c r="AS27" i="6"/>
  <c r="AU27" i="6"/>
  <c r="AM27" i="6"/>
  <c r="AO27" i="6"/>
  <c r="BE27" i="6"/>
  <c r="AR27" i="6"/>
  <c r="AP27" i="6"/>
  <c r="BF27" i="6"/>
  <c r="BB27" i="6"/>
  <c r="BD27" i="6"/>
  <c r="AZ27" i="6"/>
  <c r="AT27" i="6"/>
  <c r="BA27" i="6"/>
  <c r="AV27" i="6"/>
  <c r="AD27" i="6"/>
  <c r="AY27" i="6"/>
  <c r="AE27" i="6"/>
  <c r="AI27" i="6"/>
  <c r="AX27" i="6"/>
  <c r="AG27" i="6"/>
  <c r="AF27" i="6"/>
  <c r="AB26" i="5"/>
  <c r="C26" i="12"/>
  <c r="O26" i="12"/>
  <c r="M26" i="12"/>
  <c r="AO26" i="12"/>
  <c r="C26" i="6"/>
  <c r="AH27" i="6"/>
  <c r="H29" i="6"/>
  <c r="T29" i="5" s="1"/>
  <c r="E31" i="5" l="1"/>
  <c r="AD31" i="5"/>
  <c r="AZ28" i="6"/>
  <c r="AI28" i="6"/>
  <c r="G31" i="5"/>
  <c r="Y26" i="12"/>
  <c r="X26" i="12" s="1"/>
  <c r="J31" i="5"/>
  <c r="F31" i="5"/>
  <c r="D31" i="5"/>
  <c r="B31" i="12" s="1"/>
  <c r="B31" i="5"/>
  <c r="C32" i="5" s="1"/>
  <c r="A32" i="12" s="1"/>
  <c r="AE31" i="5"/>
  <c r="BC28" i="6"/>
  <c r="K31" i="5"/>
  <c r="B31" i="6"/>
  <c r="N31" i="5"/>
  <c r="D31" i="6" s="1"/>
  <c r="A31" i="12"/>
  <c r="L31" i="12" s="1"/>
  <c r="W31" i="5"/>
  <c r="H31" i="12" s="1"/>
  <c r="H31" i="5"/>
  <c r="J30" i="12"/>
  <c r="K30" i="12" s="1"/>
  <c r="AD28" i="6"/>
  <c r="AN28" i="6"/>
  <c r="AB28" i="6"/>
  <c r="BB28" i="6"/>
  <c r="AS28" i="6"/>
  <c r="AO28" i="6"/>
  <c r="AU28" i="6"/>
  <c r="AM28" i="6"/>
  <c r="AC28" i="6"/>
  <c r="AX28" i="6"/>
  <c r="AQ28" i="6"/>
  <c r="AG28" i="6"/>
  <c r="BA28" i="6"/>
  <c r="BG28" i="6"/>
  <c r="AH28" i="6"/>
  <c r="BE28" i="6"/>
  <c r="AJ28" i="6"/>
  <c r="AY28" i="6"/>
  <c r="AF28" i="6"/>
  <c r="AK28" i="6"/>
  <c r="AE28" i="6"/>
  <c r="AV28" i="6"/>
  <c r="AP28" i="6"/>
  <c r="BD28" i="6"/>
  <c r="AR28" i="6"/>
  <c r="AT28" i="6"/>
  <c r="M29" i="6"/>
  <c r="BD29" i="6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W26" i="12" l="1"/>
  <c r="U26" i="12" s="1"/>
  <c r="N32" i="5"/>
  <c r="B32" i="5"/>
  <c r="AD32" i="5"/>
  <c r="C33" i="5"/>
  <c r="J33" i="5" s="1"/>
  <c r="E32" i="5"/>
  <c r="B32" i="6"/>
  <c r="H32" i="5"/>
  <c r="G32" i="5"/>
  <c r="W32" i="5"/>
  <c r="H32" i="12" s="1"/>
  <c r="AE32" i="5"/>
  <c r="F32" i="5"/>
  <c r="J31" i="12"/>
  <c r="K31" i="12" s="1"/>
  <c r="AI29" i="6"/>
  <c r="AR29" i="6"/>
  <c r="AS29" i="6"/>
  <c r="AQ29" i="6"/>
  <c r="AT29" i="6"/>
  <c r="BC29" i="6"/>
  <c r="AP29" i="6"/>
  <c r="AH29" i="6"/>
  <c r="AX29" i="6"/>
  <c r="BB29" i="6"/>
  <c r="AV29" i="6"/>
  <c r="AN29" i="6"/>
  <c r="AC29" i="6"/>
  <c r="AM29" i="6"/>
  <c r="M30" i="6"/>
  <c r="AT30" i="6" s="1"/>
  <c r="BF29" i="6"/>
  <c r="AU29" i="6"/>
  <c r="BE29" i="6"/>
  <c r="BA29" i="6"/>
  <c r="BG29" i="6"/>
  <c r="AB29" i="6"/>
  <c r="AG29" i="6"/>
  <c r="AE29" i="6"/>
  <c r="AD29" i="6"/>
  <c r="AY29" i="6"/>
  <c r="AO29" i="6"/>
  <c r="AZ29" i="6"/>
  <c r="AJ29" i="6"/>
  <c r="AF29" i="6"/>
  <c r="AK29" i="6"/>
  <c r="Y11" i="10"/>
  <c r="Z12" i="10"/>
  <c r="N27" i="12"/>
  <c r="Y27" i="12"/>
  <c r="C28" i="6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M31" i="6" s="1"/>
  <c r="D32" i="6"/>
  <c r="T26" i="12" l="1"/>
  <c r="V26" i="12"/>
  <c r="F33" i="5"/>
  <c r="B33" i="5"/>
  <c r="AE33" i="5"/>
  <c r="D33" i="5"/>
  <c r="B33" i="12" s="1"/>
  <c r="K33" i="5"/>
  <c r="AD33" i="5"/>
  <c r="C34" i="5"/>
  <c r="E33" i="5"/>
  <c r="W33" i="5"/>
  <c r="H33" i="12" s="1"/>
  <c r="H33" i="5"/>
  <c r="G33" i="5"/>
  <c r="B33" i="6"/>
  <c r="A33" i="12"/>
  <c r="J33" i="12" s="1"/>
  <c r="N33" i="5"/>
  <c r="D33" i="6" s="1"/>
  <c r="Y28" i="12"/>
  <c r="W28" i="12" s="1"/>
  <c r="AU30" i="6"/>
  <c r="BG30" i="6"/>
  <c r="AF30" i="6"/>
  <c r="AK30" i="6"/>
  <c r="AD30" i="6"/>
  <c r="BC30" i="6"/>
  <c r="BB30" i="6"/>
  <c r="A32" i="6"/>
  <c r="M32" i="6" s="1"/>
  <c r="AN32" i="6" s="1"/>
  <c r="AH30" i="6"/>
  <c r="AI30" i="6"/>
  <c r="AG30" i="6"/>
  <c r="AJ30" i="6"/>
  <c r="AC30" i="6"/>
  <c r="BA30" i="6"/>
  <c r="AE30" i="6"/>
  <c r="AM30" i="6"/>
  <c r="AS30" i="6"/>
  <c r="AQ30" i="6"/>
  <c r="BF30" i="6"/>
  <c r="AB30" i="6"/>
  <c r="AO30" i="6"/>
  <c r="AZ30" i="6"/>
  <c r="AN30" i="6"/>
  <c r="BD30" i="6"/>
  <c r="AP30" i="6"/>
  <c r="AY30" i="6"/>
  <c r="BE30" i="6"/>
  <c r="AR30" i="6"/>
  <c r="AX30" i="6"/>
  <c r="AV30" i="6"/>
  <c r="Z11" i="10"/>
  <c r="AA12" i="10"/>
  <c r="AH31" i="6"/>
  <c r="AQ31" i="6"/>
  <c r="AT31" i="6"/>
  <c r="BD31" i="6"/>
  <c r="AZ31" i="6"/>
  <c r="AF31" i="6"/>
  <c r="AS31" i="6"/>
  <c r="BC31" i="6"/>
  <c r="AV31" i="6"/>
  <c r="BG31" i="6"/>
  <c r="AI31" i="6"/>
  <c r="AU31" i="6"/>
  <c r="BB31" i="6"/>
  <c r="AK31" i="6"/>
  <c r="AG31" i="6"/>
  <c r="AJ31" i="6"/>
  <c r="N28" i="12"/>
  <c r="H32" i="6"/>
  <c r="T32" i="5" s="1"/>
  <c r="G32" i="12" s="1"/>
  <c r="Y11" i="9"/>
  <c r="Z12" i="9"/>
  <c r="AB29" i="5"/>
  <c r="L33" i="12"/>
  <c r="AY31" i="6"/>
  <c r="AB31" i="6"/>
  <c r="AM31" i="6"/>
  <c r="AC31" i="6"/>
  <c r="AP31" i="6"/>
  <c r="AO31" i="6"/>
  <c r="AR31" i="6"/>
  <c r="AE31" i="6"/>
  <c r="BE31" i="6"/>
  <c r="BA31" i="6"/>
  <c r="AX31" i="6"/>
  <c r="AN31" i="6"/>
  <c r="BF31" i="6"/>
  <c r="AD31" i="6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F34" i="5" l="1"/>
  <c r="N34" i="5"/>
  <c r="D34" i="6" s="1"/>
  <c r="G34" i="5"/>
  <c r="W34" i="5"/>
  <c r="H34" i="12" s="1"/>
  <c r="K34" i="5"/>
  <c r="B34" i="5"/>
  <c r="B34" i="6"/>
  <c r="AD34" i="5"/>
  <c r="J34" i="5"/>
  <c r="D34" i="5"/>
  <c r="B34" i="12" s="1"/>
  <c r="AE34" i="5"/>
  <c r="C35" i="5"/>
  <c r="W35" i="5" s="1"/>
  <c r="H35" i="12" s="1"/>
  <c r="X28" i="12"/>
  <c r="H34" i="5"/>
  <c r="E34" i="5"/>
  <c r="A34" i="12"/>
  <c r="L34" i="12" s="1"/>
  <c r="A33" i="6"/>
  <c r="BA32" i="6"/>
  <c r="AO32" i="6"/>
  <c r="BC32" i="6"/>
  <c r="AU32" i="6"/>
  <c r="AY32" i="6"/>
  <c r="AZ32" i="6"/>
  <c r="BB32" i="6"/>
  <c r="AQ32" i="6"/>
  <c r="AX32" i="6"/>
  <c r="AS32" i="6"/>
  <c r="BD32" i="6"/>
  <c r="BF32" i="6"/>
  <c r="AP32" i="6"/>
  <c r="AT32" i="6"/>
  <c r="AM32" i="6"/>
  <c r="AV32" i="6"/>
  <c r="BG32" i="6"/>
  <c r="AR32" i="6"/>
  <c r="BE32" i="6"/>
  <c r="Y29" i="12"/>
  <c r="X29" i="12" s="1"/>
  <c r="AB12" i="10"/>
  <c r="AA11" i="10"/>
  <c r="AH32" i="6"/>
  <c r="AI32" i="6"/>
  <c r="AJ32" i="6"/>
  <c r="AB32" i="6"/>
  <c r="AF32" i="6"/>
  <c r="AD32" i="6"/>
  <c r="AK32" i="6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K33" i="12"/>
  <c r="AA12" i="9"/>
  <c r="Z11" i="9"/>
  <c r="U28" i="12"/>
  <c r="V28" i="12"/>
  <c r="T28" i="12"/>
  <c r="N29" i="12"/>
  <c r="AB30" i="5"/>
  <c r="C30" i="6"/>
  <c r="AG32" i="6"/>
  <c r="AE32" i="6"/>
  <c r="AC32" i="6"/>
  <c r="H33" i="6"/>
  <c r="T33" i="5" s="1"/>
  <c r="H35" i="5" l="1"/>
  <c r="B35" i="5"/>
  <c r="C36" i="5"/>
  <c r="A36" i="12" s="1"/>
  <c r="F35" i="5"/>
  <c r="G35" i="5"/>
  <c r="K35" i="5"/>
  <c r="J34" i="12"/>
  <c r="K34" i="12" s="1"/>
  <c r="AD35" i="5"/>
  <c r="J35" i="5"/>
  <c r="E35" i="5"/>
  <c r="A35" i="12"/>
  <c r="L35" i="12" s="1"/>
  <c r="N35" i="5"/>
  <c r="D35" i="6" s="1"/>
  <c r="B35" i="6"/>
  <c r="AE35" i="5"/>
  <c r="D35" i="5"/>
  <c r="B35" i="12" s="1"/>
  <c r="M33" i="6"/>
  <c r="BC33" i="6" s="1"/>
  <c r="W29" i="12"/>
  <c r="V29" i="12" s="1"/>
  <c r="AB11" i="10"/>
  <c r="AC12" i="10"/>
  <c r="Y30" i="12"/>
  <c r="W30" i="12" s="1"/>
  <c r="H34" i="6"/>
  <c r="T34" i="5" s="1"/>
  <c r="A34" i="6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AE36" i="5" l="1"/>
  <c r="D36" i="5"/>
  <c r="B36" i="12" s="1"/>
  <c r="C37" i="5"/>
  <c r="J37" i="5" s="1"/>
  <c r="N36" i="5"/>
  <c r="D36" i="6" s="1"/>
  <c r="B36" i="6"/>
  <c r="AD36" i="5"/>
  <c r="J35" i="12"/>
  <c r="K35" i="12" s="1"/>
  <c r="J36" i="5"/>
  <c r="W36" i="5"/>
  <c r="H36" i="12" s="1"/>
  <c r="K36" i="5"/>
  <c r="H36" i="5"/>
  <c r="B36" i="5"/>
  <c r="F36" i="5"/>
  <c r="G36" i="5"/>
  <c r="T29" i="12"/>
  <c r="E36" i="5"/>
  <c r="AB33" i="6"/>
  <c r="BA33" i="6"/>
  <c r="AF33" i="6"/>
  <c r="BD33" i="6"/>
  <c r="BG33" i="6"/>
  <c r="AI33" i="6"/>
  <c r="AR33" i="6"/>
  <c r="AE33" i="6"/>
  <c r="AQ33" i="6"/>
  <c r="AN33" i="6"/>
  <c r="AP33" i="6"/>
  <c r="AY33" i="6"/>
  <c r="AH33" i="6"/>
  <c r="AS33" i="6"/>
  <c r="AV33" i="6"/>
  <c r="BF33" i="6"/>
  <c r="AX33" i="6"/>
  <c r="BB33" i="6"/>
  <c r="AG33" i="6"/>
  <c r="AK33" i="6"/>
  <c r="AJ33" i="6"/>
  <c r="AZ33" i="6"/>
  <c r="AD33" i="6"/>
  <c r="AC33" i="6"/>
  <c r="AO33" i="6"/>
  <c r="BE33" i="6"/>
  <c r="AM33" i="6"/>
  <c r="AU33" i="6"/>
  <c r="AT33" i="6"/>
  <c r="N31" i="12"/>
  <c r="U29" i="12"/>
  <c r="X30" i="12"/>
  <c r="A35" i="6"/>
  <c r="M35" i="6" s="1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H35" i="6"/>
  <c r="T35" i="5" s="1"/>
  <c r="J36" i="12"/>
  <c r="L36" i="12"/>
  <c r="M34" i="6"/>
  <c r="G34" i="12"/>
  <c r="X34" i="5"/>
  <c r="AF37" i="5"/>
  <c r="E37" i="5" l="1"/>
  <c r="B37" i="5"/>
  <c r="H37" i="5"/>
  <c r="N37" i="5"/>
  <c r="D37" i="6" s="1"/>
  <c r="A37" i="12"/>
  <c r="L37" i="12" s="1"/>
  <c r="AD37" i="5"/>
  <c r="W37" i="5"/>
  <c r="H37" i="12" s="1"/>
  <c r="K37" i="5"/>
  <c r="B37" i="6"/>
  <c r="C38" i="5"/>
  <c r="D37" i="5"/>
  <c r="B37" i="12" s="1"/>
  <c r="AE37" i="5"/>
  <c r="G37" i="5"/>
  <c r="F37" i="5"/>
  <c r="S37" i="5"/>
  <c r="F37" i="12" s="1"/>
  <c r="R37" i="5"/>
  <c r="E37" i="12" s="1"/>
  <c r="AG37" i="5"/>
  <c r="W31" i="12"/>
  <c r="U31" i="12" s="1"/>
  <c r="A36" i="6"/>
  <c r="M36" i="6" s="1"/>
  <c r="AM36" i="6" s="1"/>
  <c r="AX35" i="6"/>
  <c r="AQ35" i="6"/>
  <c r="AR35" i="6"/>
  <c r="BF35" i="6"/>
  <c r="AT35" i="6"/>
  <c r="AZ35" i="6"/>
  <c r="BB35" i="6"/>
  <c r="AU35" i="6"/>
  <c r="AP35" i="6"/>
  <c r="AN35" i="6"/>
  <c r="AO35" i="6"/>
  <c r="BD35" i="6"/>
  <c r="AS35" i="6"/>
  <c r="BE35" i="6"/>
  <c r="AD11" i="10"/>
  <c r="AE12" i="10"/>
  <c r="AV35" i="6"/>
  <c r="BC35" i="6"/>
  <c r="BA35" i="6"/>
  <c r="BG35" i="6"/>
  <c r="AY35" i="6"/>
  <c r="AM35" i="6"/>
  <c r="K36" i="12"/>
  <c r="AJ35" i="6"/>
  <c r="I34" i="12"/>
  <c r="AM34" i="5"/>
  <c r="L34" i="5"/>
  <c r="Z34" i="5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X35" i="5"/>
  <c r="AH35" i="6"/>
  <c r="AK35" i="6"/>
  <c r="AB35" i="6"/>
  <c r="AD35" i="6"/>
  <c r="AG35" i="6"/>
  <c r="C33" i="6"/>
  <c r="O33" i="5"/>
  <c r="AC11" i="9"/>
  <c r="AD12" i="9"/>
  <c r="AF35" i="6"/>
  <c r="AE35" i="6"/>
  <c r="AI35" i="6"/>
  <c r="AC35" i="6"/>
  <c r="B38" i="7"/>
  <c r="C39" i="7"/>
  <c r="H36" i="6"/>
  <c r="T36" i="5" s="1"/>
  <c r="AA33" i="5"/>
  <c r="AB33" i="5"/>
  <c r="C33" i="12"/>
  <c r="M33" i="12"/>
  <c r="AO33" i="12"/>
  <c r="O33" i="12"/>
  <c r="AF38" i="5"/>
  <c r="W38" i="5" l="1"/>
  <c r="H38" i="12" s="1"/>
  <c r="R38" i="5"/>
  <c r="E38" i="12" s="1"/>
  <c r="H38" i="5"/>
  <c r="J37" i="12"/>
  <c r="K37" i="12" s="1"/>
  <c r="F38" i="5"/>
  <c r="E38" i="5"/>
  <c r="F37" i="6"/>
  <c r="S38" i="5"/>
  <c r="F38" i="12" s="1"/>
  <c r="AG38" i="5"/>
  <c r="G38" i="5"/>
  <c r="N38" i="5"/>
  <c r="D38" i="6" s="1"/>
  <c r="AE38" i="5"/>
  <c r="C39" i="5"/>
  <c r="A39" i="12" s="1"/>
  <c r="AD38" i="5"/>
  <c r="B38" i="6"/>
  <c r="B38" i="5"/>
  <c r="A38" i="12"/>
  <c r="N33" i="12"/>
  <c r="A37" i="6"/>
  <c r="M37" i="6" s="1"/>
  <c r="AM37" i="6" s="1"/>
  <c r="V31" i="12"/>
  <c r="T31" i="12"/>
  <c r="BB36" i="6"/>
  <c r="BA36" i="6"/>
  <c r="BD36" i="6"/>
  <c r="AS36" i="6"/>
  <c r="AE36" i="6"/>
  <c r="BC36" i="6"/>
  <c r="AE11" i="10"/>
  <c r="AF12" i="10"/>
  <c r="AF11" i="10" s="1"/>
  <c r="AI36" i="6"/>
  <c r="Y33" i="12"/>
  <c r="W33" i="12" s="1"/>
  <c r="AX36" i="6"/>
  <c r="AY36" i="6"/>
  <c r="AB36" i="6"/>
  <c r="BF36" i="6"/>
  <c r="AQ36" i="6"/>
  <c r="AJ36" i="6"/>
  <c r="AH36" i="6"/>
  <c r="BE36" i="6"/>
  <c r="AP36" i="6"/>
  <c r="G37" i="6"/>
  <c r="H37" i="6"/>
  <c r="T37" i="5" s="1"/>
  <c r="AM35" i="5"/>
  <c r="I35" i="12"/>
  <c r="L35" i="5"/>
  <c r="Z35" i="5"/>
  <c r="AA34" i="5"/>
  <c r="AB34" i="5"/>
  <c r="AC36" i="6"/>
  <c r="AO36" i="6"/>
  <c r="AV36" i="6"/>
  <c r="AK36" i="6"/>
  <c r="AN36" i="6"/>
  <c r="AZ36" i="6"/>
  <c r="BG36" i="6"/>
  <c r="AG36" i="6"/>
  <c r="AD36" i="6"/>
  <c r="AU36" i="6"/>
  <c r="AT36" i="6"/>
  <c r="AR36" i="6"/>
  <c r="AF36" i="6"/>
  <c r="G36" i="12"/>
  <c r="X36" i="5"/>
  <c r="C40" i="7"/>
  <c r="B39" i="7"/>
  <c r="AE12" i="9"/>
  <c r="AE11" i="9" s="1"/>
  <c r="AD11" i="9"/>
  <c r="E33" i="6"/>
  <c r="D33" i="12"/>
  <c r="C34" i="6"/>
  <c r="O34" i="5"/>
  <c r="C34" i="12"/>
  <c r="O34" i="12"/>
  <c r="M34" i="12"/>
  <c r="AO34" i="12"/>
  <c r="E39" i="5" l="1"/>
  <c r="D39" i="5"/>
  <c r="B39" i="12" s="1"/>
  <c r="H39" i="5"/>
  <c r="F39" i="5"/>
  <c r="AE39" i="5"/>
  <c r="C40" i="5"/>
  <c r="AD40" i="5" s="1"/>
  <c r="G39" i="5"/>
  <c r="J39" i="5"/>
  <c r="AD39" i="5"/>
  <c r="N39" i="5"/>
  <c r="D39" i="6" s="1"/>
  <c r="B39" i="5"/>
  <c r="W39" i="5"/>
  <c r="H39" i="12" s="1"/>
  <c r="F38" i="6"/>
  <c r="K39" i="5"/>
  <c r="B39" i="6"/>
  <c r="A38" i="6"/>
  <c r="X33" i="12"/>
  <c r="Y34" i="12"/>
  <c r="W34" i="12" s="1"/>
  <c r="AS37" i="6"/>
  <c r="AU37" i="6"/>
  <c r="AN37" i="6"/>
  <c r="AP37" i="6"/>
  <c r="AV37" i="6"/>
  <c r="BB37" i="6"/>
  <c r="AK37" i="6"/>
  <c r="N34" i="12"/>
  <c r="E34" i="6"/>
  <c r="D34" i="12"/>
  <c r="B40" i="7"/>
  <c r="C41" i="7"/>
  <c r="AB35" i="5"/>
  <c r="AA35" i="5"/>
  <c r="C35" i="12"/>
  <c r="O35" i="12"/>
  <c r="M35" i="12"/>
  <c r="AO35" i="12"/>
  <c r="AZ37" i="6"/>
  <c r="AX37" i="6"/>
  <c r="BG37" i="6"/>
  <c r="AO37" i="6"/>
  <c r="AT37" i="6"/>
  <c r="AG37" i="6"/>
  <c r="AC37" i="6"/>
  <c r="AE37" i="6"/>
  <c r="V33" i="12"/>
  <c r="U33" i="12"/>
  <c r="T33" i="12"/>
  <c r="AM36" i="5"/>
  <c r="I36" i="12"/>
  <c r="L36" i="5"/>
  <c r="Z36" i="5"/>
  <c r="C35" i="6"/>
  <c r="O35" i="5"/>
  <c r="AF37" i="6"/>
  <c r="AJ37" i="6"/>
  <c r="BA37" i="6"/>
  <c r="AI37" i="6"/>
  <c r="BD37" i="6"/>
  <c r="AR37" i="6"/>
  <c r="BC37" i="6"/>
  <c r="AD37" i="6"/>
  <c r="G37" i="12"/>
  <c r="X37" i="5"/>
  <c r="AQ37" i="6"/>
  <c r="AY37" i="6"/>
  <c r="BE37" i="6"/>
  <c r="BF37" i="6"/>
  <c r="AB37" i="6"/>
  <c r="AH37" i="6"/>
  <c r="L39" i="12"/>
  <c r="J39" i="12"/>
  <c r="H38" i="6"/>
  <c r="T38" i="5" s="1"/>
  <c r="G38" i="6"/>
  <c r="C41" i="5" l="1"/>
  <c r="AD41" i="5" s="1"/>
  <c r="E40" i="5"/>
  <c r="N40" i="5"/>
  <c r="D40" i="6" s="1"/>
  <c r="M38" i="6"/>
  <c r="AV38" i="6" s="1"/>
  <c r="A40" i="12"/>
  <c r="J40" i="12" s="1"/>
  <c r="J40" i="5"/>
  <c r="H40" i="5"/>
  <c r="F40" i="5"/>
  <c r="B40" i="6"/>
  <c r="AE40" i="5"/>
  <c r="K40" i="5"/>
  <c r="W40" i="5"/>
  <c r="H40" i="12" s="1"/>
  <c r="D40" i="5"/>
  <c r="B40" i="12" s="1"/>
  <c r="G40" i="5"/>
  <c r="B40" i="5"/>
  <c r="X34" i="12"/>
  <c r="A39" i="6"/>
  <c r="Y35" i="12"/>
  <c r="X35" i="12" s="1"/>
  <c r="N35" i="12"/>
  <c r="G38" i="12"/>
  <c r="L37" i="5"/>
  <c r="I37" i="12"/>
  <c r="AM37" i="5"/>
  <c r="Z37" i="5"/>
  <c r="AC37" i="5"/>
  <c r="E35" i="6"/>
  <c r="D35" i="12"/>
  <c r="C36" i="12"/>
  <c r="M36" i="12"/>
  <c r="O36" i="12"/>
  <c r="AO36" i="12"/>
  <c r="C42" i="7"/>
  <c r="B41" i="7"/>
  <c r="V34" i="12"/>
  <c r="U34" i="12"/>
  <c r="T34" i="12"/>
  <c r="AQ38" i="6"/>
  <c r="K39" i="12"/>
  <c r="AB36" i="5"/>
  <c r="AA36" i="5"/>
  <c r="C36" i="6"/>
  <c r="O36" i="5"/>
  <c r="K41" i="5"/>
  <c r="A41" i="12"/>
  <c r="H39" i="6"/>
  <c r="T39" i="5" s="1"/>
  <c r="C42" i="5" l="1"/>
  <c r="B41" i="6"/>
  <c r="AE41" i="5"/>
  <c r="W41" i="5"/>
  <c r="H41" i="12" s="1"/>
  <c r="J41" i="5"/>
  <c r="D41" i="5"/>
  <c r="B41" i="12" s="1"/>
  <c r="B41" i="5"/>
  <c r="H41" i="5"/>
  <c r="N41" i="5"/>
  <c r="E41" i="5"/>
  <c r="G41" i="5"/>
  <c r="F41" i="5"/>
  <c r="F42" i="5" s="1"/>
  <c r="M39" i="6"/>
  <c r="AH39" i="6" s="1"/>
  <c r="AU38" i="6"/>
  <c r="AN38" i="6"/>
  <c r="BE38" i="6"/>
  <c r="AD38" i="6"/>
  <c r="AS38" i="6"/>
  <c r="AF38" i="6"/>
  <c r="BC38" i="6"/>
  <c r="BB38" i="6"/>
  <c r="AE38" i="6"/>
  <c r="AZ38" i="6"/>
  <c r="AB38" i="6"/>
  <c r="AR38" i="6"/>
  <c r="AI38" i="6"/>
  <c r="BA38" i="6"/>
  <c r="AK38" i="6"/>
  <c r="AO38" i="6"/>
  <c r="AC38" i="6"/>
  <c r="AX38" i="6"/>
  <c r="BG38" i="6"/>
  <c r="BD38" i="6"/>
  <c r="AH38" i="6"/>
  <c r="AP38" i="6"/>
  <c r="AG38" i="6"/>
  <c r="AT38" i="6"/>
  <c r="AJ38" i="6"/>
  <c r="AY38" i="6"/>
  <c r="BF38" i="6"/>
  <c r="AM38" i="6"/>
  <c r="L40" i="12"/>
  <c r="K40" i="12" s="1"/>
  <c r="W35" i="12"/>
  <c r="V35" i="12" s="1"/>
  <c r="Y36" i="12"/>
  <c r="W36" i="12" s="1"/>
  <c r="H40" i="6"/>
  <c r="T40" i="5" s="1"/>
  <c r="A40" i="6"/>
  <c r="D41" i="6"/>
  <c r="L41" i="12"/>
  <c r="J41" i="12"/>
  <c r="B42" i="7"/>
  <c r="C43" i="7"/>
  <c r="AA37" i="5"/>
  <c r="AB37" i="5"/>
  <c r="C37" i="12"/>
  <c r="O37" i="12"/>
  <c r="M37" i="12"/>
  <c r="AO37" i="12"/>
  <c r="G39" i="12"/>
  <c r="X39" i="5"/>
  <c r="H42" i="5"/>
  <c r="W42" i="5"/>
  <c r="H42" i="12" s="1"/>
  <c r="A42" i="12"/>
  <c r="G42" i="5"/>
  <c r="AE42" i="5"/>
  <c r="K42" i="5"/>
  <c r="E42" i="5"/>
  <c r="D42" i="5"/>
  <c r="B42" i="12" s="1"/>
  <c r="B42" i="5"/>
  <c r="C43" i="5" s="1"/>
  <c r="B42" i="6"/>
  <c r="AD42" i="5"/>
  <c r="J42" i="5"/>
  <c r="N42" i="5"/>
  <c r="E36" i="6"/>
  <c r="D36" i="12"/>
  <c r="N36" i="12"/>
  <c r="C37" i="6"/>
  <c r="O37" i="5"/>
  <c r="AF43" i="5"/>
  <c r="AT39" i="6" l="1"/>
  <c r="AC39" i="6"/>
  <c r="AP39" i="6"/>
  <c r="AF39" i="6"/>
  <c r="AX39" i="6"/>
  <c r="AE39" i="6"/>
  <c r="BF39" i="6"/>
  <c r="AM39" i="6"/>
  <c r="AO39" i="6"/>
  <c r="AY39" i="6"/>
  <c r="AG39" i="6"/>
  <c r="AI39" i="6"/>
  <c r="AZ39" i="6"/>
  <c r="AU39" i="6"/>
  <c r="BE39" i="6"/>
  <c r="AJ39" i="6"/>
  <c r="BB39" i="6"/>
  <c r="BC39" i="6"/>
  <c r="AQ39" i="6"/>
  <c r="BD39" i="6"/>
  <c r="AS39" i="6"/>
  <c r="AK39" i="6"/>
  <c r="AV39" i="6"/>
  <c r="AD39" i="6"/>
  <c r="AB39" i="6"/>
  <c r="AR39" i="6"/>
  <c r="BA39" i="6"/>
  <c r="AN39" i="6"/>
  <c r="BG39" i="6"/>
  <c r="U35" i="12"/>
  <c r="T35" i="12"/>
  <c r="X36" i="12"/>
  <c r="Y37" i="12"/>
  <c r="X37" i="12" s="1"/>
  <c r="R43" i="5"/>
  <c r="S43" i="5"/>
  <c r="F43" i="12" s="1"/>
  <c r="AG43" i="5"/>
  <c r="A41" i="6"/>
  <c r="N37" i="12"/>
  <c r="D42" i="6"/>
  <c r="C44" i="5"/>
  <c r="W43" i="5"/>
  <c r="H43" i="12" s="1"/>
  <c r="H43" i="5"/>
  <c r="F43" i="5"/>
  <c r="AE43" i="5"/>
  <c r="E43" i="5"/>
  <c r="B43" i="6"/>
  <c r="AD43" i="5"/>
  <c r="G43" i="5"/>
  <c r="A43" i="12"/>
  <c r="N43" i="5"/>
  <c r="B43" i="5"/>
  <c r="J42" i="12"/>
  <c r="L42" i="12"/>
  <c r="T36" i="12"/>
  <c r="V36" i="12"/>
  <c r="U36" i="12"/>
  <c r="B43" i="7"/>
  <c r="C44" i="7"/>
  <c r="E37" i="6"/>
  <c r="D37" i="12"/>
  <c r="L39" i="5"/>
  <c r="I39" i="12"/>
  <c r="AM39" i="5"/>
  <c r="Z39" i="5"/>
  <c r="K41" i="12"/>
  <c r="H41" i="6"/>
  <c r="T41" i="5" s="1"/>
  <c r="M40" i="6"/>
  <c r="G40" i="12"/>
  <c r="X40" i="5"/>
  <c r="AF44" i="5"/>
  <c r="W37" i="12" l="1"/>
  <c r="T37" i="12" s="1"/>
  <c r="A42" i="6"/>
  <c r="M42" i="6" s="1"/>
  <c r="AS42" i="6" s="1"/>
  <c r="M41" i="6"/>
  <c r="AP41" i="6" s="1"/>
  <c r="S44" i="5"/>
  <c r="F44" i="12" s="1"/>
  <c r="AG44" i="5"/>
  <c r="K42" i="12"/>
  <c r="AB39" i="5"/>
  <c r="C39" i="6"/>
  <c r="E44" i="5"/>
  <c r="G44" i="5"/>
  <c r="H44" i="5"/>
  <c r="AE44" i="5"/>
  <c r="D44" i="5"/>
  <c r="B44" i="12" s="1"/>
  <c r="W44" i="5"/>
  <c r="H44" i="12" s="1"/>
  <c r="K44" i="5"/>
  <c r="B44" i="6"/>
  <c r="R44" i="5"/>
  <c r="AD44" i="5"/>
  <c r="C45" i="5"/>
  <c r="A44" i="12"/>
  <c r="B44" i="5"/>
  <c r="F44" i="5"/>
  <c r="J44" i="5"/>
  <c r="N44" i="5"/>
  <c r="AM40" i="5"/>
  <c r="L40" i="5"/>
  <c r="I40" i="12"/>
  <c r="Z40" i="5"/>
  <c r="BC40" i="6"/>
  <c r="AQ40" i="6"/>
  <c r="AX40" i="6"/>
  <c r="AN40" i="6"/>
  <c r="AD40" i="6"/>
  <c r="AG40" i="6"/>
  <c r="AC40" i="6"/>
  <c r="BG40" i="6"/>
  <c r="BD40" i="6"/>
  <c r="AJ40" i="6"/>
  <c r="AO40" i="6"/>
  <c r="AK40" i="6"/>
  <c r="BB40" i="6"/>
  <c r="BF40" i="6"/>
  <c r="AR40" i="6"/>
  <c r="BE40" i="6"/>
  <c r="BA40" i="6"/>
  <c r="AV40" i="6"/>
  <c r="AZ40" i="6"/>
  <c r="AT40" i="6"/>
  <c r="AE40" i="6"/>
  <c r="AH40" i="6"/>
  <c r="AS40" i="6"/>
  <c r="AP40" i="6"/>
  <c r="AY40" i="6"/>
  <c r="AF40" i="6"/>
  <c r="AM40" i="6"/>
  <c r="AU40" i="6"/>
  <c r="AB40" i="6"/>
  <c r="AI40" i="6"/>
  <c r="G41" i="12"/>
  <c r="X41" i="5"/>
  <c r="C39" i="12"/>
  <c r="O39" i="12"/>
  <c r="M39" i="12"/>
  <c r="AO39" i="12"/>
  <c r="B44" i="7"/>
  <c r="C45" i="7"/>
  <c r="F43" i="6"/>
  <c r="E43" i="12"/>
  <c r="D43" i="6"/>
  <c r="H42" i="6"/>
  <c r="T42" i="5" s="1"/>
  <c r="AF45" i="5"/>
  <c r="V37" i="12" l="1"/>
  <c r="U37" i="12"/>
  <c r="Y39" i="12"/>
  <c r="X39" i="12" s="1"/>
  <c r="AY41" i="6"/>
  <c r="A43" i="6"/>
  <c r="AD41" i="6"/>
  <c r="AI41" i="6"/>
  <c r="AF41" i="6"/>
  <c r="AR41" i="6"/>
  <c r="AX41" i="6"/>
  <c r="AZ41" i="6"/>
  <c r="AQ41" i="6"/>
  <c r="BG41" i="6"/>
  <c r="AV41" i="6"/>
  <c r="BD41" i="6"/>
  <c r="BA41" i="6"/>
  <c r="AJ41" i="6"/>
  <c r="AM41" i="6"/>
  <c r="BB41" i="6"/>
  <c r="AK41" i="6"/>
  <c r="AG41" i="6"/>
  <c r="AS41" i="6"/>
  <c r="AE41" i="6"/>
  <c r="AB41" i="6"/>
  <c r="AC41" i="6"/>
  <c r="BF41" i="6"/>
  <c r="AH41" i="6"/>
  <c r="AT41" i="6"/>
  <c r="AU41" i="6"/>
  <c r="AO41" i="6"/>
  <c r="BE41" i="6"/>
  <c r="BC41" i="6"/>
  <c r="AN41" i="6"/>
  <c r="BC42" i="6"/>
  <c r="AU42" i="6"/>
  <c r="AP42" i="6"/>
  <c r="AV42" i="6"/>
  <c r="AY42" i="6"/>
  <c r="AR42" i="6"/>
  <c r="BF42" i="6"/>
  <c r="AN42" i="6"/>
  <c r="N39" i="12"/>
  <c r="AG45" i="5"/>
  <c r="S45" i="5"/>
  <c r="F45" i="12" s="1"/>
  <c r="AG42" i="6"/>
  <c r="AB42" i="6"/>
  <c r="AO42" i="6"/>
  <c r="AX42" i="6"/>
  <c r="AF42" i="6"/>
  <c r="AD42" i="6"/>
  <c r="AK42" i="6"/>
  <c r="B45" i="7"/>
  <c r="C46" i="7"/>
  <c r="C40" i="6"/>
  <c r="B45" i="5"/>
  <c r="C46" i="5"/>
  <c r="N45" i="5"/>
  <c r="G45" i="5"/>
  <c r="E45" i="5"/>
  <c r="K45" i="5"/>
  <c r="AE45" i="5"/>
  <c r="H45" i="5"/>
  <c r="D45" i="5"/>
  <c r="B45" i="12" s="1"/>
  <c r="R45" i="5"/>
  <c r="B45" i="6"/>
  <c r="AD45" i="5"/>
  <c r="A45" i="12"/>
  <c r="J45" i="5"/>
  <c r="W45" i="5"/>
  <c r="H45" i="12" s="1"/>
  <c r="F45" i="5"/>
  <c r="AH42" i="6"/>
  <c r="BG42" i="6"/>
  <c r="BA42" i="6"/>
  <c r="BB42" i="6"/>
  <c r="G42" i="12"/>
  <c r="X42" i="5"/>
  <c r="AC42" i="6"/>
  <c r="AM42" i="6"/>
  <c r="BD42" i="6"/>
  <c r="BE42" i="6"/>
  <c r="AZ42" i="6"/>
  <c r="AQ42" i="6"/>
  <c r="AJ42" i="6"/>
  <c r="AI42" i="6"/>
  <c r="AT42" i="6"/>
  <c r="AE42" i="6"/>
  <c r="G43" i="6"/>
  <c r="H43" i="6"/>
  <c r="T43" i="5" s="1"/>
  <c r="G43" i="12" s="1"/>
  <c r="I41" i="12"/>
  <c r="L41" i="5"/>
  <c r="AM41" i="5"/>
  <c r="Z41" i="5"/>
  <c r="AB40" i="5"/>
  <c r="C40" i="12"/>
  <c r="AO40" i="12"/>
  <c r="O40" i="12"/>
  <c r="M40" i="12"/>
  <c r="D44" i="6"/>
  <c r="L44" i="12"/>
  <c r="J44" i="12"/>
  <c r="F44" i="6"/>
  <c r="E44" i="12"/>
  <c r="AF46" i="5"/>
  <c r="W39" i="12" l="1"/>
  <c r="V39" i="12" s="1"/>
  <c r="M43" i="6"/>
  <c r="AU43" i="6" s="1"/>
  <c r="AG46" i="5"/>
  <c r="S46" i="5"/>
  <c r="F46" i="12" s="1"/>
  <c r="N40" i="12"/>
  <c r="K44" i="12"/>
  <c r="G44" i="6"/>
  <c r="H44" i="6"/>
  <c r="T44" i="5" s="1"/>
  <c r="AB41" i="5"/>
  <c r="C41" i="12"/>
  <c r="M41" i="12"/>
  <c r="AO41" i="12"/>
  <c r="O41" i="12"/>
  <c r="H46" i="5"/>
  <c r="F46" i="5"/>
  <c r="K46" i="5"/>
  <c r="W46" i="5"/>
  <c r="H46" i="12" s="1"/>
  <c r="AE46" i="5"/>
  <c r="A46" i="12"/>
  <c r="N46" i="5"/>
  <c r="R46" i="5"/>
  <c r="AD46" i="5"/>
  <c r="J46" i="5"/>
  <c r="C47" i="5"/>
  <c r="G46" i="5"/>
  <c r="B46" i="6"/>
  <c r="D46" i="5"/>
  <c r="B46" i="12" s="1"/>
  <c r="E46" i="5"/>
  <c r="B46" i="5"/>
  <c r="C47" i="7"/>
  <c r="B46" i="7"/>
  <c r="Y40" i="12"/>
  <c r="C41" i="6"/>
  <c r="I42" i="12"/>
  <c r="L42" i="5"/>
  <c r="AM42" i="5"/>
  <c r="Z42" i="5"/>
  <c r="A44" i="6"/>
  <c r="L45" i="12"/>
  <c r="J45" i="12"/>
  <c r="F45" i="6"/>
  <c r="E45" i="12"/>
  <c r="D45" i="6"/>
  <c r="AF47" i="5"/>
  <c r="T39" i="12" l="1"/>
  <c r="U39" i="12"/>
  <c r="AG43" i="6"/>
  <c r="AB43" i="6"/>
  <c r="AI43" i="6"/>
  <c r="AD43" i="6"/>
  <c r="AJ43" i="6"/>
  <c r="AF43" i="6"/>
  <c r="AC43" i="6"/>
  <c r="BG43" i="6"/>
  <c r="AK43" i="6"/>
  <c r="AH43" i="6"/>
  <c r="BE43" i="6"/>
  <c r="AV43" i="6"/>
  <c r="AP43" i="6"/>
  <c r="BF43" i="6"/>
  <c r="AZ43" i="6"/>
  <c r="BA43" i="6"/>
  <c r="AE43" i="6"/>
  <c r="AO43" i="6"/>
  <c r="BC43" i="6"/>
  <c r="BD43" i="6"/>
  <c r="AM43" i="6"/>
  <c r="AS43" i="6"/>
  <c r="AR43" i="6"/>
  <c r="AN43" i="6"/>
  <c r="AT43" i="6"/>
  <c r="N41" i="12"/>
  <c r="BB43" i="6"/>
  <c r="AQ43" i="6"/>
  <c r="AX43" i="6"/>
  <c r="AY43" i="6"/>
  <c r="S47" i="5"/>
  <c r="F47" i="12" s="1"/>
  <c r="AG47" i="5"/>
  <c r="K45" i="12"/>
  <c r="AB42" i="5"/>
  <c r="C42" i="6"/>
  <c r="X40" i="12"/>
  <c r="W40" i="12"/>
  <c r="C48" i="7"/>
  <c r="B47" i="7"/>
  <c r="C48" i="5"/>
  <c r="AE47" i="5"/>
  <c r="G47" i="5"/>
  <c r="W47" i="5"/>
  <c r="H47" i="12" s="1"/>
  <c r="B47" i="5"/>
  <c r="J47" i="5"/>
  <c r="D47" i="5"/>
  <c r="B47" i="12" s="1"/>
  <c r="K47" i="5"/>
  <c r="AD47" i="5"/>
  <c r="E47" i="5"/>
  <c r="F47" i="5"/>
  <c r="B47" i="6"/>
  <c r="N47" i="5"/>
  <c r="A47" i="12"/>
  <c r="H47" i="5"/>
  <c r="R47" i="5"/>
  <c r="D46" i="6"/>
  <c r="G44" i="12"/>
  <c r="X44" i="5"/>
  <c r="H45" i="6"/>
  <c r="T45" i="5" s="1"/>
  <c r="G45" i="6"/>
  <c r="C42" i="12"/>
  <c r="O42" i="12"/>
  <c r="AO42" i="12"/>
  <c r="M42" i="12"/>
  <c r="E46" i="12"/>
  <c r="F46" i="6"/>
  <c r="J46" i="12"/>
  <c r="L46" i="12"/>
  <c r="A45" i="6"/>
  <c r="Y41" i="12"/>
  <c r="M44" i="6"/>
  <c r="AJ44" i="6" s="1"/>
  <c r="AF48" i="5"/>
  <c r="AG48" i="5" l="1"/>
  <c r="S48" i="5"/>
  <c r="F48" i="12" s="1"/>
  <c r="K46" i="12"/>
  <c r="BD44" i="6"/>
  <c r="AR44" i="6"/>
  <c r="AV44" i="6"/>
  <c r="BE44" i="6"/>
  <c r="BC44" i="6"/>
  <c r="AY44" i="6"/>
  <c r="AP44" i="6"/>
  <c r="AT44" i="6"/>
  <c r="AZ44" i="6"/>
  <c r="BB44" i="6"/>
  <c r="AO44" i="6"/>
  <c r="AX44" i="6"/>
  <c r="AM44" i="6"/>
  <c r="BA44" i="6"/>
  <c r="AE44" i="6"/>
  <c r="AS44" i="6"/>
  <c r="BF44" i="6"/>
  <c r="AG44" i="6"/>
  <c r="AU44" i="6"/>
  <c r="AN44" i="6"/>
  <c r="AQ44" i="6"/>
  <c r="BG44" i="6"/>
  <c r="W41" i="12"/>
  <c r="X41" i="12"/>
  <c r="N42" i="12"/>
  <c r="G45" i="12"/>
  <c r="X45" i="5"/>
  <c r="AD44" i="6"/>
  <c r="AC44" i="6"/>
  <c r="AM44" i="5"/>
  <c r="I44" i="12"/>
  <c r="L44" i="5"/>
  <c r="Z44" i="5"/>
  <c r="AC44" i="5"/>
  <c r="G46" i="6"/>
  <c r="H46" i="6"/>
  <c r="T46" i="5" s="1"/>
  <c r="L47" i="12"/>
  <c r="J47" i="12"/>
  <c r="A46" i="6"/>
  <c r="B48" i="7"/>
  <c r="C49" i="7"/>
  <c r="AF44" i="6"/>
  <c r="AB44" i="6"/>
  <c r="AK44" i="6"/>
  <c r="Y42" i="12"/>
  <c r="M45" i="6"/>
  <c r="AD45" i="6" s="1"/>
  <c r="AI44" i="6"/>
  <c r="AH44" i="6"/>
  <c r="E47" i="12"/>
  <c r="F47" i="6"/>
  <c r="D47" i="6"/>
  <c r="W48" i="5"/>
  <c r="H48" i="12" s="1"/>
  <c r="AE48" i="5"/>
  <c r="N48" i="5"/>
  <c r="AD48" i="5"/>
  <c r="J48" i="5"/>
  <c r="F48" i="5"/>
  <c r="R48" i="5"/>
  <c r="B48" i="6"/>
  <c r="C49" i="5"/>
  <c r="G48" i="5"/>
  <c r="D48" i="5"/>
  <c r="B48" i="12" s="1"/>
  <c r="E48" i="5"/>
  <c r="H48" i="5"/>
  <c r="A48" i="12"/>
  <c r="K48" i="5"/>
  <c r="B48" i="5"/>
  <c r="U40" i="12"/>
  <c r="V40" i="12"/>
  <c r="T40" i="12"/>
  <c r="AF49" i="5"/>
  <c r="AG49" i="5" l="1"/>
  <c r="S49" i="5"/>
  <c r="F49" i="12" s="1"/>
  <c r="AJ45" i="6"/>
  <c r="K47" i="12"/>
  <c r="A47" i="6"/>
  <c r="AE45" i="6"/>
  <c r="AB45" i="6"/>
  <c r="AC45" i="6"/>
  <c r="X42" i="12"/>
  <c r="W42" i="12"/>
  <c r="B49" i="7"/>
  <c r="C50" i="7"/>
  <c r="M46" i="6"/>
  <c r="AG46" i="6" s="1"/>
  <c r="C44" i="6"/>
  <c r="O44" i="5"/>
  <c r="J48" i="12"/>
  <c r="L48" i="12"/>
  <c r="B49" i="5"/>
  <c r="C50" i="5" s="1"/>
  <c r="R50" i="5" s="1"/>
  <c r="AE49" i="5"/>
  <c r="W49" i="5"/>
  <c r="H49" i="12" s="1"/>
  <c r="D49" i="5"/>
  <c r="B49" i="12" s="1"/>
  <c r="E49" i="5"/>
  <c r="A49" i="12"/>
  <c r="H49" i="5"/>
  <c r="N49" i="5"/>
  <c r="G49" i="5"/>
  <c r="R49" i="5"/>
  <c r="F49" i="5"/>
  <c r="B49" i="6"/>
  <c r="K49" i="5"/>
  <c r="J49" i="5"/>
  <c r="AD49" i="5"/>
  <c r="E48" i="12"/>
  <c r="F48" i="6"/>
  <c r="D48" i="6"/>
  <c r="G47" i="6"/>
  <c r="H47" i="6"/>
  <c r="T47" i="5" s="1"/>
  <c r="AO45" i="6"/>
  <c r="BG45" i="6"/>
  <c r="AM45" i="6"/>
  <c r="BC45" i="6"/>
  <c r="AT45" i="6"/>
  <c r="BA45" i="6"/>
  <c r="AN45" i="6"/>
  <c r="AS45" i="6"/>
  <c r="BE45" i="6"/>
  <c r="AI45" i="6"/>
  <c r="AZ45" i="6"/>
  <c r="AG45" i="6"/>
  <c r="AK45" i="6"/>
  <c r="AQ45" i="6"/>
  <c r="AP45" i="6"/>
  <c r="BD45" i="6"/>
  <c r="AX45" i="6"/>
  <c r="AR45" i="6"/>
  <c r="AU45" i="6"/>
  <c r="BB45" i="6"/>
  <c r="BF45" i="6"/>
  <c r="AV45" i="6"/>
  <c r="AY45" i="6"/>
  <c r="AF45" i="6"/>
  <c r="AH45" i="6"/>
  <c r="G46" i="12"/>
  <c r="X46" i="5"/>
  <c r="AA44" i="5"/>
  <c r="AB44" i="5"/>
  <c r="C44" i="12"/>
  <c r="M44" i="12"/>
  <c r="O44" i="12"/>
  <c r="AO44" i="12"/>
  <c r="AM45" i="5"/>
  <c r="I45" i="12"/>
  <c r="L45" i="5"/>
  <c r="Z45" i="5"/>
  <c r="AC45" i="5"/>
  <c r="T41" i="12"/>
  <c r="V41" i="12"/>
  <c r="U41" i="12"/>
  <c r="AF50" i="5"/>
  <c r="M47" i="6" l="1"/>
  <c r="BA47" i="6" s="1"/>
  <c r="K48" i="12"/>
  <c r="S50" i="5"/>
  <c r="F50" i="12" s="1"/>
  <c r="AG50" i="5"/>
  <c r="N44" i="12"/>
  <c r="C45" i="6"/>
  <c r="O45" i="5"/>
  <c r="AM46" i="5"/>
  <c r="I46" i="12"/>
  <c r="L46" i="5"/>
  <c r="Z46" i="5"/>
  <c r="AC46" i="5"/>
  <c r="G50" i="5"/>
  <c r="AE50" i="5"/>
  <c r="N50" i="5"/>
  <c r="W50" i="5"/>
  <c r="H50" i="12" s="1"/>
  <c r="B50" i="6"/>
  <c r="AD50" i="5"/>
  <c r="A50" i="12"/>
  <c r="B50" i="5"/>
  <c r="H50" i="5"/>
  <c r="F50" i="5"/>
  <c r="E50" i="5"/>
  <c r="C51" i="5"/>
  <c r="E44" i="6"/>
  <c r="D44" i="12"/>
  <c r="BE46" i="6"/>
  <c r="AM46" i="6"/>
  <c r="AU46" i="6"/>
  <c r="AN46" i="6"/>
  <c r="AO46" i="6"/>
  <c r="AD46" i="6"/>
  <c r="BA46" i="6"/>
  <c r="AQ46" i="6"/>
  <c r="AE46" i="6"/>
  <c r="AK46" i="6"/>
  <c r="AS46" i="6"/>
  <c r="AH46" i="6"/>
  <c r="AP46" i="6"/>
  <c r="AT46" i="6"/>
  <c r="AZ46" i="6"/>
  <c r="BF46" i="6"/>
  <c r="BG46" i="6"/>
  <c r="AI46" i="6"/>
  <c r="AJ46" i="6"/>
  <c r="AV46" i="6"/>
  <c r="BD46" i="6"/>
  <c r="AY46" i="6"/>
  <c r="BB46" i="6"/>
  <c r="AF46" i="6"/>
  <c r="BC46" i="6"/>
  <c r="AR46" i="6"/>
  <c r="AX46" i="6"/>
  <c r="B50" i="7"/>
  <c r="C51" i="7"/>
  <c r="V42" i="12"/>
  <c r="U42" i="12"/>
  <c r="T42" i="12"/>
  <c r="AB45" i="5"/>
  <c r="AA45" i="5"/>
  <c r="C45" i="12"/>
  <c r="O45" i="12"/>
  <c r="M45" i="12"/>
  <c r="AO45" i="12"/>
  <c r="Y44" i="12"/>
  <c r="AB46" i="6"/>
  <c r="AC46" i="6"/>
  <c r="G47" i="12"/>
  <c r="X47" i="5"/>
  <c r="G48" i="6"/>
  <c r="H48" i="6"/>
  <c r="T48" i="5" s="1"/>
  <c r="F49" i="6"/>
  <c r="E49" i="12"/>
  <c r="D49" i="6"/>
  <c r="J49" i="12"/>
  <c r="L49" i="12"/>
  <c r="A48" i="6"/>
  <c r="AH47" i="6" l="1"/>
  <c r="BF47" i="6"/>
  <c r="BB47" i="6"/>
  <c r="Y45" i="12"/>
  <c r="X45" i="12" s="1"/>
  <c r="AK47" i="6"/>
  <c r="AC47" i="6"/>
  <c r="AI47" i="6"/>
  <c r="BE47" i="6"/>
  <c r="AT47" i="6"/>
  <c r="AG47" i="6"/>
  <c r="BG47" i="6"/>
  <c r="AN47" i="6"/>
  <c r="AB47" i="6"/>
  <c r="AV47" i="6"/>
  <c r="AE47" i="6"/>
  <c r="AD47" i="6"/>
  <c r="AF47" i="6"/>
  <c r="AR47" i="6"/>
  <c r="BD47" i="6"/>
  <c r="AU47" i="6"/>
  <c r="AY47" i="6"/>
  <c r="AO47" i="6"/>
  <c r="AX47" i="6"/>
  <c r="AZ47" i="6"/>
  <c r="AQ47" i="6"/>
  <c r="AM47" i="6"/>
  <c r="BC47" i="6"/>
  <c r="AS47" i="6"/>
  <c r="AJ47" i="6"/>
  <c r="AP47" i="6"/>
  <c r="N45" i="12"/>
  <c r="G49" i="6"/>
  <c r="H49" i="6"/>
  <c r="T49" i="5" s="1"/>
  <c r="G48" i="12"/>
  <c r="X48" i="5"/>
  <c r="F51" i="5"/>
  <c r="C52" i="5"/>
  <c r="AD51" i="5"/>
  <c r="K51" i="5"/>
  <c r="E51" i="5"/>
  <c r="B51" i="6"/>
  <c r="J51" i="5"/>
  <c r="AE51" i="5"/>
  <c r="N51" i="5"/>
  <c r="D51" i="5"/>
  <c r="B51" i="12" s="1"/>
  <c r="A51" i="12"/>
  <c r="W51" i="5"/>
  <c r="H51" i="12" s="1"/>
  <c r="H51" i="5"/>
  <c r="G51" i="5"/>
  <c r="B51" i="5"/>
  <c r="C46" i="12"/>
  <c r="O46" i="12"/>
  <c r="AO46" i="12"/>
  <c r="M46" i="12"/>
  <c r="D45" i="12"/>
  <c r="E45" i="6"/>
  <c r="K49" i="12"/>
  <c r="A49" i="6"/>
  <c r="M49" i="6" s="1"/>
  <c r="M48" i="6"/>
  <c r="AF48" i="6" s="1"/>
  <c r="I47" i="12"/>
  <c r="AM47" i="5"/>
  <c r="L47" i="5"/>
  <c r="Z47" i="5"/>
  <c r="AC47" i="5"/>
  <c r="W44" i="12"/>
  <c r="X44" i="12"/>
  <c r="C52" i="7"/>
  <c r="B51" i="7"/>
  <c r="E50" i="12"/>
  <c r="F50" i="6"/>
  <c r="D50" i="6"/>
  <c r="AB46" i="5"/>
  <c r="AA46" i="5"/>
  <c r="C46" i="6"/>
  <c r="O46" i="5"/>
  <c r="W45" i="12" l="1"/>
  <c r="T45" i="12" s="1"/>
  <c r="A50" i="6"/>
  <c r="M50" i="6" s="1"/>
  <c r="BD50" i="6" s="1"/>
  <c r="AC48" i="6"/>
  <c r="AH48" i="6"/>
  <c r="AJ48" i="6"/>
  <c r="AI48" i="6"/>
  <c r="AK48" i="6"/>
  <c r="AS49" i="6"/>
  <c r="AP49" i="6"/>
  <c r="AM49" i="6"/>
  <c r="AQ49" i="6"/>
  <c r="BE49" i="6"/>
  <c r="AR49" i="6"/>
  <c r="AO49" i="6"/>
  <c r="BC49" i="6"/>
  <c r="AG49" i="6"/>
  <c r="AZ49" i="6"/>
  <c r="BD49" i="6"/>
  <c r="AN49" i="6"/>
  <c r="AJ49" i="6"/>
  <c r="AX49" i="6"/>
  <c r="AU49" i="6"/>
  <c r="BF49" i="6"/>
  <c r="AI49" i="6"/>
  <c r="AK49" i="6"/>
  <c r="BA49" i="6"/>
  <c r="AV49" i="6"/>
  <c r="AB49" i="6"/>
  <c r="AE49" i="6"/>
  <c r="AT49" i="6"/>
  <c r="AD49" i="6"/>
  <c r="BB49" i="6"/>
  <c r="AY49" i="6"/>
  <c r="BG49" i="6"/>
  <c r="E46" i="6"/>
  <c r="D46" i="12"/>
  <c r="AB47" i="5"/>
  <c r="AA47" i="5"/>
  <c r="N46" i="12"/>
  <c r="J51" i="12"/>
  <c r="L51" i="12"/>
  <c r="E52" i="5"/>
  <c r="D52" i="5"/>
  <c r="B52" i="12" s="1"/>
  <c r="J52" i="5"/>
  <c r="A52" i="12"/>
  <c r="AE52" i="5"/>
  <c r="F52" i="5"/>
  <c r="G52" i="5"/>
  <c r="B52" i="5"/>
  <c r="C53" i="5" s="1"/>
  <c r="W52" i="5"/>
  <c r="H52" i="12" s="1"/>
  <c r="K52" i="5"/>
  <c r="N52" i="5"/>
  <c r="H52" i="5"/>
  <c r="B52" i="6"/>
  <c r="AD52" i="5"/>
  <c r="L48" i="5"/>
  <c r="I48" i="12"/>
  <c r="AM48" i="5"/>
  <c r="Z48" i="5"/>
  <c r="AC48" i="5"/>
  <c r="H50" i="6"/>
  <c r="T50" i="5" s="1"/>
  <c r="G50" i="6"/>
  <c r="C53" i="7"/>
  <c r="B52" i="7"/>
  <c r="V44" i="12"/>
  <c r="T44" i="12"/>
  <c r="U44" i="12"/>
  <c r="C47" i="6"/>
  <c r="O47" i="5"/>
  <c r="C47" i="12"/>
  <c r="M47" i="12"/>
  <c r="O47" i="12"/>
  <c r="AO47" i="12"/>
  <c r="AX48" i="6"/>
  <c r="AT48" i="6"/>
  <c r="AN48" i="6"/>
  <c r="BE48" i="6"/>
  <c r="AU48" i="6"/>
  <c r="BD48" i="6"/>
  <c r="AP48" i="6"/>
  <c r="AV48" i="6"/>
  <c r="AQ48" i="6"/>
  <c r="AR48" i="6"/>
  <c r="BB48" i="6"/>
  <c r="AO48" i="6"/>
  <c r="AZ48" i="6"/>
  <c r="BC48" i="6"/>
  <c r="AY48" i="6"/>
  <c r="BG48" i="6"/>
  <c r="AS48" i="6"/>
  <c r="BF48" i="6"/>
  <c r="BA48" i="6"/>
  <c r="AM48" i="6"/>
  <c r="AE48" i="6"/>
  <c r="AB48" i="6"/>
  <c r="Y46" i="12"/>
  <c r="D51" i="6"/>
  <c r="V45" i="12"/>
  <c r="AG48" i="6"/>
  <c r="AD48" i="6"/>
  <c r="G49" i="12"/>
  <c r="X49" i="5"/>
  <c r="AF49" i="6"/>
  <c r="AC49" i="6"/>
  <c r="AH49" i="6"/>
  <c r="U45" i="12" l="1"/>
  <c r="A51" i="6"/>
  <c r="M51" i="6" s="1"/>
  <c r="AY51" i="6" s="1"/>
  <c r="AN50" i="6"/>
  <c r="AJ50" i="6"/>
  <c r="AH50" i="6"/>
  <c r="AR50" i="6"/>
  <c r="BC50" i="6"/>
  <c r="BF50" i="6"/>
  <c r="AM50" i="6"/>
  <c r="BG50" i="6"/>
  <c r="BA50" i="6"/>
  <c r="AS50" i="6"/>
  <c r="AT50" i="6"/>
  <c r="AY50" i="6"/>
  <c r="N47" i="12"/>
  <c r="AI50" i="6"/>
  <c r="AZ50" i="6"/>
  <c r="AQ50" i="6"/>
  <c r="AU50" i="6"/>
  <c r="AV50" i="6"/>
  <c r="AO50" i="6"/>
  <c r="AX50" i="6"/>
  <c r="AC50" i="6"/>
  <c r="AG50" i="6"/>
  <c r="BE50" i="6"/>
  <c r="BB50" i="6"/>
  <c r="AP50" i="6"/>
  <c r="K51" i="12"/>
  <c r="H53" i="5"/>
  <c r="F53" i="5"/>
  <c r="AE53" i="5"/>
  <c r="B53" i="6"/>
  <c r="AD53" i="5"/>
  <c r="C54" i="5"/>
  <c r="A53" i="12"/>
  <c r="B53" i="5"/>
  <c r="G53" i="5"/>
  <c r="E53" i="5"/>
  <c r="N53" i="5"/>
  <c r="W53" i="5"/>
  <c r="H53" i="12" s="1"/>
  <c r="X46" i="12"/>
  <c r="W46" i="12"/>
  <c r="G50" i="12"/>
  <c r="AB48" i="5"/>
  <c r="AA48" i="5"/>
  <c r="C48" i="12"/>
  <c r="AO48" i="12"/>
  <c r="M48" i="12"/>
  <c r="O48" i="12"/>
  <c r="I49" i="12"/>
  <c r="AM49" i="5"/>
  <c r="L49" i="5"/>
  <c r="Z49" i="5"/>
  <c r="AC49" i="5"/>
  <c r="H51" i="6"/>
  <c r="T51" i="5" s="1"/>
  <c r="Y47" i="12"/>
  <c r="E47" i="6"/>
  <c r="D47" i="12"/>
  <c r="C54" i="7"/>
  <c r="B53" i="7"/>
  <c r="AB50" i="6"/>
  <c r="AK50" i="6"/>
  <c r="AD50" i="6"/>
  <c r="AE50" i="6"/>
  <c r="AF50" i="6"/>
  <c r="C48" i="6"/>
  <c r="O48" i="5"/>
  <c r="D52" i="6"/>
  <c r="L52" i="12"/>
  <c r="J52" i="12"/>
  <c r="AF54" i="5"/>
  <c r="BA51" i="6" l="1"/>
  <c r="AZ51" i="6"/>
  <c r="AF51" i="6"/>
  <c r="AU51" i="6"/>
  <c r="AS51" i="6"/>
  <c r="AQ51" i="6"/>
  <c r="AG54" i="5"/>
  <c r="S54" i="5"/>
  <c r="F54" i="12" s="1"/>
  <c r="N48" i="12"/>
  <c r="AP51" i="6"/>
  <c r="BG51" i="6"/>
  <c r="AV51" i="6"/>
  <c r="AO51" i="6"/>
  <c r="BC51" i="6"/>
  <c r="K52" i="12"/>
  <c r="BE51" i="6"/>
  <c r="BB51" i="6"/>
  <c r="BF51" i="6"/>
  <c r="BD51" i="6"/>
  <c r="AC51" i="6"/>
  <c r="AM51" i="6"/>
  <c r="AT51" i="6"/>
  <c r="AR51" i="6"/>
  <c r="AH51" i="6"/>
  <c r="AX51" i="6"/>
  <c r="AN51" i="6"/>
  <c r="H52" i="6"/>
  <c r="T52" i="5" s="1"/>
  <c r="W47" i="12"/>
  <c r="X47" i="12"/>
  <c r="G51" i="12"/>
  <c r="X51" i="5"/>
  <c r="C49" i="6"/>
  <c r="O49" i="5"/>
  <c r="C49" i="12"/>
  <c r="M49" i="12"/>
  <c r="AO49" i="12"/>
  <c r="O49" i="12"/>
  <c r="Y48" i="12"/>
  <c r="U46" i="12"/>
  <c r="V46" i="12"/>
  <c r="T46" i="12"/>
  <c r="D53" i="6"/>
  <c r="D48" i="12"/>
  <c r="E48" i="6"/>
  <c r="C55" i="7"/>
  <c r="B54" i="7"/>
  <c r="AD51" i="6"/>
  <c r="AB51" i="6"/>
  <c r="AK51" i="6"/>
  <c r="AI51" i="6"/>
  <c r="AE51" i="6"/>
  <c r="AJ51" i="6"/>
  <c r="AG51" i="6"/>
  <c r="AB49" i="5"/>
  <c r="AA49" i="5"/>
  <c r="A52" i="6"/>
  <c r="M52" i="6" s="1"/>
  <c r="J54" i="5"/>
  <c r="AE54" i="5"/>
  <c r="E54" i="5"/>
  <c r="F54" i="5"/>
  <c r="B54" i="5"/>
  <c r="H54" i="5"/>
  <c r="A54" i="12"/>
  <c r="R54" i="5"/>
  <c r="C55" i="5"/>
  <c r="AD54" i="5"/>
  <c r="K54" i="5"/>
  <c r="N54" i="5"/>
  <c r="D54" i="5"/>
  <c r="B54" i="12" s="1"/>
  <c r="G54" i="5"/>
  <c r="B54" i="6"/>
  <c r="W54" i="5"/>
  <c r="H54" i="12" s="1"/>
  <c r="A53" i="6" l="1"/>
  <c r="M53" i="6" s="1"/>
  <c r="AX53" i="6" s="1"/>
  <c r="N49" i="12"/>
  <c r="Y49" i="12"/>
  <c r="X49" i="12" s="1"/>
  <c r="AS52" i="6"/>
  <c r="AO52" i="6"/>
  <c r="AQ52" i="6"/>
  <c r="AZ52" i="6"/>
  <c r="BE52" i="6"/>
  <c r="BC52" i="6"/>
  <c r="AY52" i="6"/>
  <c r="AU52" i="6"/>
  <c r="BD52" i="6"/>
  <c r="BA52" i="6"/>
  <c r="AR52" i="6"/>
  <c r="BF52" i="6"/>
  <c r="AP52" i="6"/>
  <c r="AT52" i="6"/>
  <c r="AN52" i="6"/>
  <c r="AD52" i="6"/>
  <c r="AX52" i="6"/>
  <c r="AM52" i="6"/>
  <c r="AE52" i="6"/>
  <c r="AH52" i="6"/>
  <c r="AV52" i="6"/>
  <c r="AI52" i="6"/>
  <c r="BB52" i="6"/>
  <c r="AF52" i="6"/>
  <c r="AB52" i="6"/>
  <c r="AG52" i="6"/>
  <c r="BG52" i="6"/>
  <c r="AK52" i="6"/>
  <c r="C56" i="5"/>
  <c r="AD55" i="5"/>
  <c r="G55" i="5"/>
  <c r="F55" i="5"/>
  <c r="AE55" i="5"/>
  <c r="B55" i="5"/>
  <c r="A55" i="12"/>
  <c r="W55" i="5"/>
  <c r="H55" i="12" s="1"/>
  <c r="K55" i="5"/>
  <c r="N55" i="5"/>
  <c r="D55" i="5"/>
  <c r="B55" i="12" s="1"/>
  <c r="H55" i="5"/>
  <c r="E55" i="5"/>
  <c r="J55" i="5"/>
  <c r="B55" i="6"/>
  <c r="H53" i="6"/>
  <c r="T53" i="5" s="1"/>
  <c r="G53" i="12" s="1"/>
  <c r="W48" i="12"/>
  <c r="X48" i="12"/>
  <c r="V47" i="12"/>
  <c r="U47" i="12"/>
  <c r="T47" i="12"/>
  <c r="D54" i="6"/>
  <c r="E54" i="12"/>
  <c r="F54" i="6"/>
  <c r="J54" i="12"/>
  <c r="L54" i="12"/>
  <c r="B55" i="7"/>
  <c r="C56" i="7"/>
  <c r="E49" i="6"/>
  <c r="D49" i="12"/>
  <c r="AM51" i="5"/>
  <c r="L51" i="5"/>
  <c r="I51" i="12"/>
  <c r="Z51" i="5"/>
  <c r="G52" i="12"/>
  <c r="X52" i="5"/>
  <c r="AC52" i="6"/>
  <c r="AJ52" i="6"/>
  <c r="AF56" i="5"/>
  <c r="AU53" i="6" l="1"/>
  <c r="BD53" i="6"/>
  <c r="AV53" i="6"/>
  <c r="AM53" i="6"/>
  <c r="BB53" i="6"/>
  <c r="BG53" i="6"/>
  <c r="AR53" i="6"/>
  <c r="AY53" i="6"/>
  <c r="AT53" i="6"/>
  <c r="AZ53" i="6"/>
  <c r="AQ53" i="6"/>
  <c r="AO53" i="6"/>
  <c r="BF53" i="6"/>
  <c r="BC53" i="6"/>
  <c r="AP53" i="6"/>
  <c r="AN53" i="6"/>
  <c r="BA53" i="6"/>
  <c r="BE53" i="6"/>
  <c r="AS53" i="6"/>
  <c r="W49" i="12"/>
  <c r="U49" i="12" s="1"/>
  <c r="AG56" i="5"/>
  <c r="S56" i="5"/>
  <c r="F56" i="12" s="1"/>
  <c r="AI53" i="6"/>
  <c r="AC53" i="6"/>
  <c r="AE53" i="6"/>
  <c r="AG53" i="6"/>
  <c r="AH53" i="6"/>
  <c r="AD53" i="6"/>
  <c r="K54" i="12"/>
  <c r="AF53" i="6"/>
  <c r="AB51" i="5"/>
  <c r="C51" i="12"/>
  <c r="M51" i="12"/>
  <c r="O51" i="12"/>
  <c r="AO51" i="12"/>
  <c r="J55" i="12"/>
  <c r="L55" i="12"/>
  <c r="AD56" i="5"/>
  <c r="B56" i="6"/>
  <c r="G56" i="5"/>
  <c r="H56" i="5"/>
  <c r="E56" i="5"/>
  <c r="J56" i="5"/>
  <c r="D56" i="5"/>
  <c r="B56" i="12" s="1"/>
  <c r="W56" i="5"/>
  <c r="H56" i="12" s="1"/>
  <c r="N56" i="5"/>
  <c r="F56" i="5"/>
  <c r="A56" i="12"/>
  <c r="C57" i="5"/>
  <c r="K56" i="5"/>
  <c r="AE56" i="5"/>
  <c r="R56" i="5"/>
  <c r="B56" i="5"/>
  <c r="I52" i="12"/>
  <c r="L52" i="5"/>
  <c r="AM52" i="5"/>
  <c r="Z52" i="5"/>
  <c r="C51" i="6"/>
  <c r="C57" i="7"/>
  <c r="B56" i="7"/>
  <c r="G54" i="6"/>
  <c r="H54" i="6"/>
  <c r="T54" i="5" s="1"/>
  <c r="V48" i="12"/>
  <c r="T48" i="12"/>
  <c r="U48" i="12"/>
  <c r="AK53" i="6"/>
  <c r="AB53" i="6"/>
  <c r="AJ53" i="6"/>
  <c r="D55" i="6"/>
  <c r="A54" i="6"/>
  <c r="AF57" i="5"/>
  <c r="T49" i="12" l="1"/>
  <c r="V49" i="12"/>
  <c r="AG57" i="5"/>
  <c r="S57" i="5"/>
  <c r="F57" i="12" s="1"/>
  <c r="Y51" i="12"/>
  <c r="W51" i="12" s="1"/>
  <c r="K55" i="12"/>
  <c r="H55" i="6"/>
  <c r="T55" i="5" s="1"/>
  <c r="G54" i="12"/>
  <c r="X54" i="5"/>
  <c r="M54" i="6"/>
  <c r="AH54" i="6" s="1"/>
  <c r="B57" i="7"/>
  <c r="C58" i="7"/>
  <c r="C52" i="12"/>
  <c r="AO52" i="12"/>
  <c r="M52" i="12"/>
  <c r="O52" i="12"/>
  <c r="J56" i="12"/>
  <c r="L56" i="12"/>
  <c r="D56" i="6"/>
  <c r="A55" i="6"/>
  <c r="AB52" i="5"/>
  <c r="C52" i="6"/>
  <c r="F56" i="6"/>
  <c r="E56" i="12"/>
  <c r="R57" i="5"/>
  <c r="K57" i="5"/>
  <c r="D57" i="5"/>
  <c r="B57" i="12" s="1"/>
  <c r="B57" i="5"/>
  <c r="E57" i="5"/>
  <c r="W57" i="5"/>
  <c r="H57" i="12" s="1"/>
  <c r="J57" i="5"/>
  <c r="G57" i="5"/>
  <c r="AD57" i="5"/>
  <c r="B57" i="6"/>
  <c r="A57" i="12"/>
  <c r="N57" i="5"/>
  <c r="C58" i="5"/>
  <c r="AE57" i="5"/>
  <c r="F57" i="5"/>
  <c r="H57" i="5"/>
  <c r="N51" i="12"/>
  <c r="AF58" i="5"/>
  <c r="X51" i="12" l="1"/>
  <c r="AG58" i="5"/>
  <c r="S58" i="5"/>
  <c r="F58" i="12" s="1"/>
  <c r="AG54" i="6"/>
  <c r="A56" i="6"/>
  <c r="M56" i="6" s="1"/>
  <c r="K56" i="12"/>
  <c r="N52" i="12"/>
  <c r="AE54" i="6"/>
  <c r="D57" i="6"/>
  <c r="E57" i="12"/>
  <c r="F57" i="6"/>
  <c r="H56" i="6"/>
  <c r="T56" i="5" s="1"/>
  <c r="G56" i="6"/>
  <c r="Y52" i="12"/>
  <c r="B58" i="7"/>
  <c r="C59" i="7"/>
  <c r="AS54" i="6"/>
  <c r="BE54" i="6"/>
  <c r="AT54" i="6"/>
  <c r="BD54" i="6"/>
  <c r="BC54" i="6"/>
  <c r="AP54" i="6"/>
  <c r="AZ54" i="6"/>
  <c r="AO54" i="6"/>
  <c r="BG54" i="6"/>
  <c r="AU54" i="6"/>
  <c r="AX54" i="6"/>
  <c r="BF54" i="6"/>
  <c r="AM54" i="6"/>
  <c r="AV54" i="6"/>
  <c r="AQ54" i="6"/>
  <c r="AN54" i="6"/>
  <c r="BA54" i="6"/>
  <c r="AY54" i="6"/>
  <c r="AR54" i="6"/>
  <c r="BB54" i="6"/>
  <c r="AF54" i="6"/>
  <c r="AM54" i="5"/>
  <c r="I54" i="12"/>
  <c r="L54" i="5"/>
  <c r="Z54" i="5"/>
  <c r="AC54" i="5"/>
  <c r="G55" i="12"/>
  <c r="X55" i="5"/>
  <c r="B58" i="5"/>
  <c r="W58" i="5"/>
  <c r="H58" i="12" s="1"/>
  <c r="J58" i="5"/>
  <c r="R58" i="5"/>
  <c r="F58" i="5"/>
  <c r="AD58" i="5"/>
  <c r="C59" i="5"/>
  <c r="D58" i="5"/>
  <c r="B58" i="12" s="1"/>
  <c r="AE58" i="5"/>
  <c r="B58" i="6"/>
  <c r="N58" i="5"/>
  <c r="K58" i="5"/>
  <c r="H58" i="5"/>
  <c r="A58" i="12"/>
  <c r="E58" i="5"/>
  <c r="G58" i="5"/>
  <c r="J57" i="12"/>
  <c r="L57" i="12"/>
  <c r="AB54" i="6"/>
  <c r="AD54" i="6"/>
  <c r="AJ54" i="6"/>
  <c r="AC54" i="6"/>
  <c r="U51" i="12"/>
  <c r="T51" i="12"/>
  <c r="V51" i="12"/>
  <c r="AI54" i="6"/>
  <c r="AK54" i="6"/>
  <c r="M55" i="6"/>
  <c r="AH55" i="6" s="1"/>
  <c r="AF59" i="5"/>
  <c r="A57" i="6" l="1"/>
  <c r="M57" i="6" s="1"/>
  <c r="AM57" i="6" s="1"/>
  <c r="AG59" i="5"/>
  <c r="S59" i="5"/>
  <c r="F59" i="12" s="1"/>
  <c r="BB56" i="6"/>
  <c r="BG56" i="6"/>
  <c r="AS56" i="6"/>
  <c r="AO56" i="6"/>
  <c r="AE56" i="6"/>
  <c r="AQ56" i="6"/>
  <c r="K57" i="12"/>
  <c r="AD55" i="6"/>
  <c r="AE55" i="6"/>
  <c r="AF56" i="6"/>
  <c r="AI56" i="6"/>
  <c r="AC56" i="6"/>
  <c r="AZ56" i="6"/>
  <c r="BF56" i="6"/>
  <c r="AK56" i="6"/>
  <c r="AV56" i="6"/>
  <c r="BD56" i="6"/>
  <c r="BE56" i="6"/>
  <c r="AD56" i="6"/>
  <c r="A59" i="12"/>
  <c r="AE59" i="5"/>
  <c r="R59" i="5"/>
  <c r="N59" i="5"/>
  <c r="J59" i="5"/>
  <c r="H59" i="5"/>
  <c r="F59" i="5"/>
  <c r="B59" i="6"/>
  <c r="B59" i="5"/>
  <c r="C60" i="5" s="1"/>
  <c r="R60" i="5" s="1"/>
  <c r="G59" i="5"/>
  <c r="AD59" i="5"/>
  <c r="K59" i="5"/>
  <c r="D59" i="5"/>
  <c r="B59" i="12" s="1"/>
  <c r="W59" i="5"/>
  <c r="H59" i="12" s="1"/>
  <c r="E59" i="5"/>
  <c r="C54" i="6"/>
  <c r="O54" i="5"/>
  <c r="B59" i="7"/>
  <c r="C60" i="7"/>
  <c r="X52" i="12"/>
  <c r="W52" i="12"/>
  <c r="AR55" i="6"/>
  <c r="AZ55" i="6"/>
  <c r="AO55" i="6"/>
  <c r="BD55" i="6"/>
  <c r="BE55" i="6"/>
  <c r="BA55" i="6"/>
  <c r="AU55" i="6"/>
  <c r="AS55" i="6"/>
  <c r="BB55" i="6"/>
  <c r="AM55" i="6"/>
  <c r="BC55" i="6"/>
  <c r="AT55" i="6"/>
  <c r="AJ55" i="6"/>
  <c r="AV55" i="6"/>
  <c r="AP55" i="6"/>
  <c r="BG55" i="6"/>
  <c r="AB55" i="6"/>
  <c r="AN55" i="6"/>
  <c r="AF55" i="6"/>
  <c r="AQ55" i="6"/>
  <c r="AC55" i="6"/>
  <c r="BF55" i="6"/>
  <c r="AY55" i="6"/>
  <c r="AX55" i="6"/>
  <c r="AG55" i="6"/>
  <c r="AI55" i="6"/>
  <c r="AK55" i="6"/>
  <c r="J58" i="12"/>
  <c r="L58" i="12"/>
  <c r="D58" i="6"/>
  <c r="E58" i="12"/>
  <c r="F58" i="6"/>
  <c r="AM55" i="5"/>
  <c r="I55" i="12"/>
  <c r="L55" i="5"/>
  <c r="Z55" i="5"/>
  <c r="AA54" i="5"/>
  <c r="AB54" i="5"/>
  <c r="C54" i="12"/>
  <c r="M54" i="12"/>
  <c r="O54" i="12"/>
  <c r="AO54" i="12"/>
  <c r="AX56" i="6"/>
  <c r="AP56" i="6"/>
  <c r="AU56" i="6"/>
  <c r="BA56" i="6"/>
  <c r="AG56" i="6"/>
  <c r="AT56" i="6"/>
  <c r="AB56" i="6"/>
  <c r="AN56" i="6"/>
  <c r="AH56" i="6"/>
  <c r="AR56" i="6"/>
  <c r="AY56" i="6"/>
  <c r="AM56" i="6"/>
  <c r="AJ56" i="6"/>
  <c r="BC56" i="6"/>
  <c r="G56" i="12"/>
  <c r="X56" i="5"/>
  <c r="H57" i="6"/>
  <c r="T57" i="5" s="1"/>
  <c r="G57" i="6"/>
  <c r="AF60" i="5"/>
  <c r="AR57" i="6" l="1"/>
  <c r="AO57" i="6"/>
  <c r="AE57" i="6"/>
  <c r="AG60" i="5"/>
  <c r="S60" i="5"/>
  <c r="F60" i="12" s="1"/>
  <c r="AQ57" i="6"/>
  <c r="AX57" i="6"/>
  <c r="BB57" i="6"/>
  <c r="AY57" i="6"/>
  <c r="AC57" i="6"/>
  <c r="AP57" i="6"/>
  <c r="AF57" i="6"/>
  <c r="AU57" i="6"/>
  <c r="BA57" i="6"/>
  <c r="AI57" i="6"/>
  <c r="AT57" i="6"/>
  <c r="BD57" i="6"/>
  <c r="AK57" i="6"/>
  <c r="BE57" i="6"/>
  <c r="AB57" i="6"/>
  <c r="AG57" i="6"/>
  <c r="AJ57" i="6"/>
  <c r="AV57" i="6"/>
  <c r="BF57" i="6"/>
  <c r="AN57" i="6"/>
  <c r="Y54" i="12"/>
  <c r="X54" i="12" s="1"/>
  <c r="L56" i="5"/>
  <c r="I56" i="12"/>
  <c r="AM56" i="5"/>
  <c r="Z56" i="5"/>
  <c r="AC56" i="5"/>
  <c r="C55" i="12"/>
  <c r="AO55" i="12"/>
  <c r="M55" i="12"/>
  <c r="O55" i="12"/>
  <c r="T52" i="12"/>
  <c r="U52" i="12"/>
  <c r="V52" i="12"/>
  <c r="C61" i="7"/>
  <c r="B60" i="7"/>
  <c r="D54" i="12"/>
  <c r="E54" i="6"/>
  <c r="F59" i="6"/>
  <c r="E59" i="12"/>
  <c r="J59" i="12"/>
  <c r="L59" i="12"/>
  <c r="AH57" i="6"/>
  <c r="AD57" i="6"/>
  <c r="BC57" i="6"/>
  <c r="AZ57" i="6"/>
  <c r="BG57" i="6"/>
  <c r="AS57" i="6"/>
  <c r="G57" i="12"/>
  <c r="X57" i="5"/>
  <c r="N54" i="12"/>
  <c r="AB55" i="5"/>
  <c r="C55" i="6"/>
  <c r="G58" i="6"/>
  <c r="H58" i="6"/>
  <c r="T58" i="5" s="1"/>
  <c r="K58" i="12"/>
  <c r="C61" i="5"/>
  <c r="AE60" i="5"/>
  <c r="N60" i="5"/>
  <c r="B60" i="5"/>
  <c r="B60" i="6"/>
  <c r="A60" i="12"/>
  <c r="W60" i="5"/>
  <c r="H60" i="12" s="1"/>
  <c r="AD60" i="5"/>
  <c r="F60" i="5"/>
  <c r="E60" i="5"/>
  <c r="G60" i="5"/>
  <c r="H60" i="5"/>
  <c r="D59" i="6"/>
  <c r="A58" i="6"/>
  <c r="W54" i="12" l="1"/>
  <c r="V54" i="12" s="1"/>
  <c r="N55" i="12"/>
  <c r="E60" i="12"/>
  <c r="F60" i="6"/>
  <c r="M58" i="6"/>
  <c r="AM57" i="5"/>
  <c r="I57" i="12"/>
  <c r="L57" i="5"/>
  <c r="Z57" i="5"/>
  <c r="AC57" i="5"/>
  <c r="C62" i="7"/>
  <c r="B61" i="7"/>
  <c r="Y55" i="12"/>
  <c r="AB56" i="5"/>
  <c r="AA56" i="5"/>
  <c r="C56" i="12"/>
  <c r="M56" i="12"/>
  <c r="O56" i="12"/>
  <c r="AO56" i="12"/>
  <c r="G59" i="6"/>
  <c r="H59" i="6"/>
  <c r="T59" i="5" s="1"/>
  <c r="A59" i="6"/>
  <c r="M59" i="6" s="1"/>
  <c r="D60" i="6"/>
  <c r="D61" i="5"/>
  <c r="B61" i="12" s="1"/>
  <c r="AD61" i="5"/>
  <c r="A61" i="12"/>
  <c r="B61" i="5"/>
  <c r="G61" i="5"/>
  <c r="J61" i="5"/>
  <c r="K61" i="5"/>
  <c r="E61" i="5"/>
  <c r="C62" i="5"/>
  <c r="N61" i="5"/>
  <c r="W61" i="5"/>
  <c r="H61" i="12" s="1"/>
  <c r="H61" i="5"/>
  <c r="B61" i="6"/>
  <c r="AE61" i="5"/>
  <c r="F61" i="5"/>
  <c r="G58" i="12"/>
  <c r="X58" i="5"/>
  <c r="K59" i="12"/>
  <c r="C56" i="6"/>
  <c r="O56" i="5"/>
  <c r="T54" i="12" l="1"/>
  <c r="U54" i="12"/>
  <c r="Y56" i="12"/>
  <c r="X56" i="12" s="1"/>
  <c r="AQ59" i="6"/>
  <c r="AZ59" i="6"/>
  <c r="BG59" i="6"/>
  <c r="AY59" i="6"/>
  <c r="BF59" i="6"/>
  <c r="AS59" i="6"/>
  <c r="AU59" i="6"/>
  <c r="AV59" i="6"/>
  <c r="AX59" i="6"/>
  <c r="AN59" i="6"/>
  <c r="AR59" i="6"/>
  <c r="AM59" i="6"/>
  <c r="BC59" i="6"/>
  <c r="BA59" i="6"/>
  <c r="BE59" i="6"/>
  <c r="BB59" i="6"/>
  <c r="AC59" i="6"/>
  <c r="AT59" i="6"/>
  <c r="AP59" i="6"/>
  <c r="AO59" i="6"/>
  <c r="BD59" i="6"/>
  <c r="D56" i="12"/>
  <c r="E56" i="6"/>
  <c r="L58" i="5"/>
  <c r="I58" i="12"/>
  <c r="AM58" i="5"/>
  <c r="Z58" i="5"/>
  <c r="AC58" i="5"/>
  <c r="A62" i="12"/>
  <c r="B62" i="6"/>
  <c r="AD62" i="5"/>
  <c r="N62" i="5"/>
  <c r="W62" i="5"/>
  <c r="H62" i="12" s="1"/>
  <c r="AE62" i="5"/>
  <c r="F62" i="5"/>
  <c r="B62" i="5"/>
  <c r="J62" i="5"/>
  <c r="D62" i="5"/>
  <c r="B62" i="12" s="1"/>
  <c r="G62" i="5"/>
  <c r="K62" i="5"/>
  <c r="C63" i="5"/>
  <c r="H62" i="5"/>
  <c r="E62" i="5"/>
  <c r="J61" i="12"/>
  <c r="L61" i="12"/>
  <c r="H60" i="6"/>
  <c r="T60" i="5" s="1"/>
  <c r="G60" i="6"/>
  <c r="A60" i="6"/>
  <c r="G59" i="12"/>
  <c r="X59" i="5"/>
  <c r="AB59" i="6"/>
  <c r="AE59" i="6"/>
  <c r="AH59" i="6"/>
  <c r="C57" i="12"/>
  <c r="M57" i="12"/>
  <c r="O57" i="12"/>
  <c r="AO57" i="12"/>
  <c r="BE58" i="6"/>
  <c r="AZ58" i="6"/>
  <c r="AU58" i="6"/>
  <c r="AS58" i="6"/>
  <c r="BC58" i="6"/>
  <c r="BG58" i="6"/>
  <c r="AI58" i="6"/>
  <c r="BB58" i="6"/>
  <c r="AV58" i="6"/>
  <c r="AB58" i="6"/>
  <c r="AO58" i="6"/>
  <c r="AR58" i="6"/>
  <c r="BA58" i="6"/>
  <c r="BD58" i="6"/>
  <c r="AF58" i="6"/>
  <c r="AD58" i="6"/>
  <c r="AP58" i="6"/>
  <c r="AY58" i="6"/>
  <c r="AG58" i="6"/>
  <c r="AN58" i="6"/>
  <c r="AM58" i="6"/>
  <c r="AC58" i="6"/>
  <c r="AQ58" i="6"/>
  <c r="AK58" i="6"/>
  <c r="BF58" i="6"/>
  <c r="AE58" i="6"/>
  <c r="AT58" i="6"/>
  <c r="AH58" i="6"/>
  <c r="AX58" i="6"/>
  <c r="AJ58" i="6"/>
  <c r="D61" i="6"/>
  <c r="AK59" i="6"/>
  <c r="AD59" i="6"/>
  <c r="AF59" i="6"/>
  <c r="AJ59" i="6"/>
  <c r="AI59" i="6"/>
  <c r="AG59" i="6"/>
  <c r="N56" i="12"/>
  <c r="W55" i="12"/>
  <c r="X55" i="12"/>
  <c r="C63" i="7"/>
  <c r="B62" i="7"/>
  <c r="AA57" i="5"/>
  <c r="AB57" i="5"/>
  <c r="C57" i="6"/>
  <c r="O57" i="5"/>
  <c r="AF63" i="5"/>
  <c r="W56" i="12" l="1"/>
  <c r="U56" i="12" s="1"/>
  <c r="AG63" i="5"/>
  <c r="S63" i="5"/>
  <c r="F63" i="12" s="1"/>
  <c r="M60" i="6"/>
  <c r="AX60" i="6" s="1"/>
  <c r="Y57" i="12"/>
  <c r="W57" i="12" s="1"/>
  <c r="C64" i="7"/>
  <c r="B64" i="7" s="1"/>
  <c r="B63" i="7"/>
  <c r="T55" i="12"/>
  <c r="V55" i="12"/>
  <c r="U55" i="12"/>
  <c r="H61" i="6"/>
  <c r="T61" i="5" s="1"/>
  <c r="D62" i="6"/>
  <c r="L62" i="12"/>
  <c r="J62" i="12"/>
  <c r="AA58" i="5"/>
  <c r="AB58" i="5"/>
  <c r="C58" i="6"/>
  <c r="O58" i="5"/>
  <c r="E57" i="6"/>
  <c r="D57" i="12"/>
  <c r="A61" i="6"/>
  <c r="N57" i="12"/>
  <c r="I59" i="12"/>
  <c r="AM59" i="5"/>
  <c r="L59" i="5"/>
  <c r="Z59" i="5"/>
  <c r="AC59" i="5"/>
  <c r="G60" i="12"/>
  <c r="K61" i="12"/>
  <c r="W63" i="5"/>
  <c r="H63" i="12" s="1"/>
  <c r="A63" i="12"/>
  <c r="F63" i="5"/>
  <c r="B63" i="6"/>
  <c r="B63" i="5"/>
  <c r="J63" i="5"/>
  <c r="N63" i="5"/>
  <c r="E63" i="5"/>
  <c r="H63" i="5"/>
  <c r="R63" i="5"/>
  <c r="K63" i="5"/>
  <c r="C64" i="5"/>
  <c r="G63" i="5"/>
  <c r="D63" i="5"/>
  <c r="B63" i="12" s="1"/>
  <c r="AD63" i="5"/>
  <c r="AE63" i="5"/>
  <c r="C58" i="12"/>
  <c r="AO58" i="12"/>
  <c r="M58" i="12"/>
  <c r="O58" i="12"/>
  <c r="AF64" i="5"/>
  <c r="M61" i="6" l="1"/>
  <c r="AZ61" i="6" s="1"/>
  <c r="V56" i="12"/>
  <c r="T56" i="12"/>
  <c r="BA60" i="6"/>
  <c r="AO60" i="6"/>
  <c r="AB60" i="6"/>
  <c r="AQ60" i="6"/>
  <c r="AU60" i="6"/>
  <c r="AE60" i="6"/>
  <c r="BE60" i="6"/>
  <c r="AS60" i="6"/>
  <c r="AC60" i="6"/>
  <c r="AJ60" i="6"/>
  <c r="BG60" i="6"/>
  <c r="AV60" i="6"/>
  <c r="AI60" i="6"/>
  <c r="BB60" i="6"/>
  <c r="BD60" i="6"/>
  <c r="AZ60" i="6"/>
  <c r="AK60" i="6"/>
  <c r="X57" i="12"/>
  <c r="AG60" i="6"/>
  <c r="AT60" i="6"/>
  <c r="AG64" i="5"/>
  <c r="S64" i="5"/>
  <c r="F64" i="12" s="1"/>
  <c r="AH60" i="6"/>
  <c r="BF60" i="6"/>
  <c r="AP60" i="6"/>
  <c r="AF60" i="6"/>
  <c r="AY60" i="6"/>
  <c r="BC60" i="6"/>
  <c r="AM60" i="6"/>
  <c r="AN60" i="6"/>
  <c r="AR60" i="6"/>
  <c r="AD60" i="6"/>
  <c r="D63" i="6"/>
  <c r="A62" i="6"/>
  <c r="H62" i="6"/>
  <c r="T62" i="5" s="1"/>
  <c r="V57" i="12"/>
  <c r="U57" i="12"/>
  <c r="T57" i="12"/>
  <c r="G61" i="12"/>
  <c r="X61" i="5"/>
  <c r="N58" i="12"/>
  <c r="Y58" i="12"/>
  <c r="A64" i="12"/>
  <c r="D64" i="5"/>
  <c r="B64" i="12" s="1"/>
  <c r="AE64" i="5"/>
  <c r="W64" i="5"/>
  <c r="H64" i="12" s="1"/>
  <c r="N64" i="5"/>
  <c r="J64" i="5"/>
  <c r="C65" i="5"/>
  <c r="B64" i="5"/>
  <c r="F64" i="5"/>
  <c r="E64" i="5"/>
  <c r="R64" i="5"/>
  <c r="K64" i="5"/>
  <c r="B64" i="6"/>
  <c r="H64" i="5"/>
  <c r="G64" i="5"/>
  <c r="AD64" i="5"/>
  <c r="F63" i="6"/>
  <c r="E63" i="12"/>
  <c r="J63" i="12"/>
  <c r="L63" i="12"/>
  <c r="AB59" i="5"/>
  <c r="AA59" i="5"/>
  <c r="C59" i="6"/>
  <c r="O59" i="5"/>
  <c r="C59" i="12"/>
  <c r="M59" i="12"/>
  <c r="O59" i="12"/>
  <c r="AO59" i="12"/>
  <c r="E58" i="6"/>
  <c r="D58" i="12"/>
  <c r="K62" i="12"/>
  <c r="AF65" i="5"/>
  <c r="AB61" i="6" l="1"/>
  <c r="AH61" i="6"/>
  <c r="AK61" i="6"/>
  <c r="AV61" i="6"/>
  <c r="BC61" i="6"/>
  <c r="AM61" i="6"/>
  <c r="AJ61" i="6"/>
  <c r="BA61" i="6"/>
  <c r="AI61" i="6"/>
  <c r="AN61" i="6"/>
  <c r="AD61" i="6"/>
  <c r="AG61" i="6"/>
  <c r="AO61" i="6"/>
  <c r="AS61" i="6"/>
  <c r="AF61" i="6"/>
  <c r="AU61" i="6"/>
  <c r="AX61" i="6"/>
  <c r="AE61" i="6"/>
  <c r="AC61" i="6"/>
  <c r="AR61" i="6"/>
  <c r="AT61" i="6"/>
  <c r="BG61" i="6"/>
  <c r="BB61" i="6"/>
  <c r="AP61" i="6"/>
  <c r="BF61" i="6"/>
  <c r="BD61" i="6"/>
  <c r="AQ61" i="6"/>
  <c r="AY61" i="6"/>
  <c r="BE61" i="6"/>
  <c r="M62" i="6"/>
  <c r="AZ62" i="6" s="1"/>
  <c r="S65" i="5"/>
  <c r="F65" i="12" s="1"/>
  <c r="AG65" i="5"/>
  <c r="N59" i="12"/>
  <c r="A63" i="6"/>
  <c r="K63" i="12"/>
  <c r="E64" i="12"/>
  <c r="F64" i="6"/>
  <c r="H65" i="5"/>
  <c r="AD65" i="5"/>
  <c r="J65" i="5"/>
  <c r="F65" i="5"/>
  <c r="D65" i="5"/>
  <c r="B65" i="12" s="1"/>
  <c r="B65" i="5"/>
  <c r="N65" i="5"/>
  <c r="R65" i="5"/>
  <c r="G65" i="5"/>
  <c r="AE65" i="5"/>
  <c r="W65" i="5"/>
  <c r="H65" i="12" s="1"/>
  <c r="B65" i="6"/>
  <c r="K65" i="5"/>
  <c r="C66" i="5"/>
  <c r="E65" i="5"/>
  <c r="A65" i="12"/>
  <c r="D64" i="6"/>
  <c r="L64" i="12"/>
  <c r="J64" i="12"/>
  <c r="G62" i="12"/>
  <c r="X62" i="5"/>
  <c r="H63" i="6"/>
  <c r="T63" i="5" s="1"/>
  <c r="G63" i="6"/>
  <c r="Y59" i="12"/>
  <c r="D59" i="12"/>
  <c r="E59" i="6"/>
  <c r="X58" i="12"/>
  <c r="W58" i="12"/>
  <c r="I61" i="12"/>
  <c r="AM61" i="5"/>
  <c r="L61" i="5"/>
  <c r="Z61" i="5"/>
  <c r="AF66" i="5"/>
  <c r="AH62" i="6" l="1"/>
  <c r="AR62" i="6"/>
  <c r="R66" i="5"/>
  <c r="AE62" i="6"/>
  <c r="AS62" i="6"/>
  <c r="AO62" i="6"/>
  <c r="AF62" i="6"/>
  <c r="M63" i="6"/>
  <c r="AQ63" i="6" s="1"/>
  <c r="AC62" i="6"/>
  <c r="BB62" i="6"/>
  <c r="BE62" i="6"/>
  <c r="AD62" i="6"/>
  <c r="AI62" i="6"/>
  <c r="AJ62" i="6"/>
  <c r="AG62" i="6"/>
  <c r="BD62" i="6"/>
  <c r="AP62" i="6"/>
  <c r="BG62" i="6"/>
  <c r="BC62" i="6"/>
  <c r="AT62" i="6"/>
  <c r="AY62" i="6"/>
  <c r="AN62" i="6"/>
  <c r="AM62" i="6"/>
  <c r="AX62" i="6"/>
  <c r="AQ62" i="6"/>
  <c r="BF62" i="6"/>
  <c r="AU62" i="6"/>
  <c r="AV62" i="6"/>
  <c r="AB62" i="6"/>
  <c r="BA62" i="6"/>
  <c r="AK62" i="6"/>
  <c r="K64" i="12"/>
  <c r="AG66" i="5"/>
  <c r="S66" i="5"/>
  <c r="F66" i="12" s="1"/>
  <c r="AB61" i="5"/>
  <c r="T58" i="12"/>
  <c r="V58" i="12"/>
  <c r="U58" i="12"/>
  <c r="W59" i="12"/>
  <c r="X59" i="12"/>
  <c r="G63" i="12"/>
  <c r="X63" i="5"/>
  <c r="L62" i="5"/>
  <c r="I62" i="12"/>
  <c r="AM62" i="5"/>
  <c r="Z62" i="5"/>
  <c r="E66" i="5"/>
  <c r="B66" i="6"/>
  <c r="N66" i="5"/>
  <c r="AE66" i="5"/>
  <c r="W66" i="5"/>
  <c r="H66" i="12" s="1"/>
  <c r="H66" i="5"/>
  <c r="AD66" i="5"/>
  <c r="A66" i="12"/>
  <c r="F66" i="5"/>
  <c r="B66" i="5"/>
  <c r="G66" i="5"/>
  <c r="C67" i="5"/>
  <c r="D65" i="6"/>
  <c r="C61" i="6"/>
  <c r="C61" i="12"/>
  <c r="O61" i="12"/>
  <c r="AO61" i="12"/>
  <c r="M61" i="12"/>
  <c r="G64" i="6"/>
  <c r="H64" i="6"/>
  <c r="T64" i="5" s="1"/>
  <c r="L65" i="12"/>
  <c r="J65" i="12"/>
  <c r="E65" i="12"/>
  <c r="F65" i="6"/>
  <c r="A64" i="6"/>
  <c r="M64" i="6" s="1"/>
  <c r="AF67" i="5"/>
  <c r="BF63" i="6" l="1"/>
  <c r="BA63" i="6"/>
  <c r="AF63" i="6"/>
  <c r="AH63" i="6"/>
  <c r="AS63" i="6"/>
  <c r="AE63" i="6"/>
  <c r="AO63" i="6"/>
  <c r="AM63" i="6"/>
  <c r="BC63" i="6"/>
  <c r="AC63" i="6"/>
  <c r="AB63" i="6"/>
  <c r="BB63" i="6"/>
  <c r="BE63" i="6"/>
  <c r="AZ63" i="6"/>
  <c r="AP63" i="6"/>
  <c r="AI63" i="6"/>
  <c r="AR63" i="6"/>
  <c r="BG63" i="6"/>
  <c r="AG63" i="6"/>
  <c r="AV63" i="6"/>
  <c r="AK63" i="6"/>
  <c r="AU63" i="6"/>
  <c r="AY63" i="6"/>
  <c r="BD63" i="6"/>
  <c r="AD63" i="6"/>
  <c r="AJ63" i="6"/>
  <c r="AT63" i="6"/>
  <c r="AX63" i="6"/>
  <c r="AN63" i="6"/>
  <c r="AG67" i="5"/>
  <c r="S67" i="5"/>
  <c r="F67" i="12" s="1"/>
  <c r="AO64" i="6"/>
  <c r="AS64" i="6"/>
  <c r="AY64" i="6"/>
  <c r="BG64" i="6"/>
  <c r="AP64" i="6"/>
  <c r="BF64" i="6"/>
  <c r="AM64" i="6"/>
  <c r="BD64" i="6"/>
  <c r="AN64" i="6"/>
  <c r="AU64" i="6"/>
  <c r="AR64" i="6"/>
  <c r="AX64" i="6"/>
  <c r="BE64" i="6"/>
  <c r="AQ64" i="6"/>
  <c r="AZ64" i="6"/>
  <c r="AT64" i="6"/>
  <c r="AV64" i="6"/>
  <c r="BC64" i="6"/>
  <c r="BA64" i="6"/>
  <c r="AC64" i="6"/>
  <c r="BB64" i="6"/>
  <c r="G64" i="12"/>
  <c r="X64" i="5"/>
  <c r="AJ64" i="6"/>
  <c r="AB64" i="6"/>
  <c r="AK64" i="6"/>
  <c r="AG64" i="6"/>
  <c r="N61" i="12"/>
  <c r="H65" i="6"/>
  <c r="T65" i="5" s="1"/>
  <c r="G65" i="6"/>
  <c r="A65" i="6"/>
  <c r="J67" i="5"/>
  <c r="W67" i="5"/>
  <c r="H67" i="12" s="1"/>
  <c r="D67" i="5"/>
  <c r="B67" i="12" s="1"/>
  <c r="G67" i="5"/>
  <c r="H67" i="5"/>
  <c r="E67" i="5"/>
  <c r="N67" i="5"/>
  <c r="R67" i="5"/>
  <c r="B67" i="5"/>
  <c r="AD67" i="5"/>
  <c r="C68" i="5"/>
  <c r="AE67" i="5"/>
  <c r="A67" i="12"/>
  <c r="K67" i="5"/>
  <c r="F67" i="5"/>
  <c r="B67" i="6"/>
  <c r="E66" i="12"/>
  <c r="F66" i="6"/>
  <c r="AB62" i="5"/>
  <c r="C62" i="6"/>
  <c r="V59" i="12"/>
  <c r="T59" i="12"/>
  <c r="U59" i="12"/>
  <c r="K65" i="12"/>
  <c r="AH64" i="6"/>
  <c r="AE64" i="6"/>
  <c r="AI64" i="6"/>
  <c r="AD64" i="6"/>
  <c r="AF64" i="6"/>
  <c r="Y61" i="12"/>
  <c r="D66" i="6"/>
  <c r="C62" i="12"/>
  <c r="O62" i="12"/>
  <c r="AO62" i="12"/>
  <c r="M62" i="12"/>
  <c r="AM63" i="5"/>
  <c r="I63" i="12"/>
  <c r="L63" i="5"/>
  <c r="Z63" i="5"/>
  <c r="AC63" i="5"/>
  <c r="AF68" i="5"/>
  <c r="A66" i="6" l="1"/>
  <c r="AG68" i="5"/>
  <c r="S68" i="5"/>
  <c r="F68" i="12" s="1"/>
  <c r="Y62" i="12"/>
  <c r="W62" i="12" s="1"/>
  <c r="M65" i="6"/>
  <c r="AD65" i="6" s="1"/>
  <c r="C63" i="6"/>
  <c r="O63" i="5"/>
  <c r="G66" i="6"/>
  <c r="H66" i="6"/>
  <c r="T66" i="5" s="1"/>
  <c r="G66" i="12" s="1"/>
  <c r="L67" i="12"/>
  <c r="J67" i="12"/>
  <c r="R68" i="5"/>
  <c r="AD68" i="5"/>
  <c r="E68" i="5"/>
  <c r="A68" i="12"/>
  <c r="B68" i="5"/>
  <c r="C69" i="5" s="1"/>
  <c r="R69" i="5" s="1"/>
  <c r="AE68" i="5"/>
  <c r="J68" i="5"/>
  <c r="K68" i="5"/>
  <c r="D68" i="5"/>
  <c r="B68" i="12" s="1"/>
  <c r="H68" i="5"/>
  <c r="F68" i="5"/>
  <c r="G68" i="5"/>
  <c r="N68" i="5"/>
  <c r="B68" i="6"/>
  <c r="W68" i="5"/>
  <c r="H68" i="12" s="1"/>
  <c r="D67" i="6"/>
  <c r="G65" i="12"/>
  <c r="X65" i="5"/>
  <c r="AA63" i="5"/>
  <c r="AB63" i="5"/>
  <c r="C63" i="12"/>
  <c r="O63" i="12"/>
  <c r="M63" i="12"/>
  <c r="AO63" i="12"/>
  <c r="N62" i="12"/>
  <c r="W61" i="12"/>
  <c r="X61" i="12"/>
  <c r="F67" i="6"/>
  <c r="E67" i="12"/>
  <c r="I64" i="12"/>
  <c r="AM64" i="5"/>
  <c r="L64" i="5"/>
  <c r="Z64" i="5"/>
  <c r="AC64" i="5"/>
  <c r="AF69" i="5"/>
  <c r="M66" i="6" l="1"/>
  <c r="AZ66" i="6" s="1"/>
  <c r="X62" i="12"/>
  <c r="Y63" i="12"/>
  <c r="W63" i="12" s="1"/>
  <c r="BD65" i="6"/>
  <c r="AS65" i="6"/>
  <c r="AZ65" i="6"/>
  <c r="AK65" i="6"/>
  <c r="AQ65" i="6"/>
  <c r="AI65" i="6"/>
  <c r="AN65" i="6"/>
  <c r="BG65" i="6"/>
  <c r="AR65" i="6"/>
  <c r="BB65" i="6"/>
  <c r="AB65" i="6"/>
  <c r="BF65" i="6"/>
  <c r="AV65" i="6"/>
  <c r="BC65" i="6"/>
  <c r="AY65" i="6"/>
  <c r="AX65" i="6"/>
  <c r="AE65" i="6"/>
  <c r="BA65" i="6"/>
  <c r="AH65" i="6"/>
  <c r="AU65" i="6"/>
  <c r="AO65" i="6"/>
  <c r="AJ65" i="6"/>
  <c r="BE65" i="6"/>
  <c r="AC65" i="6"/>
  <c r="AT65" i="6"/>
  <c r="AG69" i="5"/>
  <c r="S69" i="5"/>
  <c r="F69" i="12" s="1"/>
  <c r="N63" i="12"/>
  <c r="AP65" i="6"/>
  <c r="AF65" i="6"/>
  <c r="AM65" i="6"/>
  <c r="AG65" i="6"/>
  <c r="V61" i="12"/>
  <c r="U61" i="12"/>
  <c r="T61" i="12"/>
  <c r="H67" i="6"/>
  <c r="T67" i="5" s="1"/>
  <c r="G67" i="6"/>
  <c r="J68" i="12"/>
  <c r="L68" i="12"/>
  <c r="K67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AC65" i="5"/>
  <c r="D68" i="6"/>
  <c r="N69" i="5"/>
  <c r="A69" i="12"/>
  <c r="B69" i="5"/>
  <c r="G69" i="5"/>
  <c r="F69" i="5"/>
  <c r="AD69" i="5"/>
  <c r="H69" i="5"/>
  <c r="AE69" i="5"/>
  <c r="C70" i="5"/>
  <c r="W69" i="5"/>
  <c r="H69" i="12" s="1"/>
  <c r="B69" i="6"/>
  <c r="E69" i="5"/>
  <c r="F68" i="6"/>
  <c r="E68" i="12"/>
  <c r="A67" i="6"/>
  <c r="M67" i="6" s="1"/>
  <c r="AH66" i="6" l="1"/>
  <c r="AK66" i="6"/>
  <c r="AF66" i="6"/>
  <c r="AC66" i="6"/>
  <c r="AG66" i="6"/>
  <c r="AE66" i="6"/>
  <c r="BF66" i="6"/>
  <c r="AJ66" i="6"/>
  <c r="AB66" i="6"/>
  <c r="AI66" i="6"/>
  <c r="AV66" i="6"/>
  <c r="AO66" i="6"/>
  <c r="BG66" i="6"/>
  <c r="BD66" i="6"/>
  <c r="AM66" i="6"/>
  <c r="AU66" i="6"/>
  <c r="BE66" i="6"/>
  <c r="AT66" i="6"/>
  <c r="AX66" i="6"/>
  <c r="AQ66" i="6"/>
  <c r="AP66" i="6"/>
  <c r="AS66" i="6"/>
  <c r="BB66" i="6"/>
  <c r="AY66" i="6"/>
  <c r="AR66" i="6"/>
  <c r="BC66" i="6"/>
  <c r="BA66" i="6"/>
  <c r="AN66" i="6"/>
  <c r="AD66" i="6"/>
  <c r="X63" i="12"/>
  <c r="K68" i="12"/>
  <c r="N64" i="12"/>
  <c r="BF67" i="6"/>
  <c r="AT67" i="6"/>
  <c r="BC67" i="6"/>
  <c r="AN67" i="6"/>
  <c r="AZ67" i="6"/>
  <c r="AS67" i="6"/>
  <c r="BA67" i="6"/>
  <c r="AM67" i="6"/>
  <c r="BB67" i="6"/>
  <c r="BD67" i="6"/>
  <c r="AE67" i="6"/>
  <c r="AP67" i="6"/>
  <c r="AR67" i="6"/>
  <c r="AO67" i="6"/>
  <c r="AH67" i="6"/>
  <c r="AV67" i="6"/>
  <c r="BE67" i="6"/>
  <c r="AF67" i="6"/>
  <c r="AQ67" i="6"/>
  <c r="AU67" i="6"/>
  <c r="BG67" i="6"/>
  <c r="AB67" i="6"/>
  <c r="AG67" i="6"/>
  <c r="AX67" i="6"/>
  <c r="AY67" i="6"/>
  <c r="E69" i="12"/>
  <c r="F69" i="6"/>
  <c r="D69" i="6"/>
  <c r="H68" i="6"/>
  <c r="T68" i="5" s="1"/>
  <c r="G68" i="6"/>
  <c r="AA65" i="5"/>
  <c r="AB65" i="5"/>
  <c r="C65" i="6"/>
  <c r="O65" i="5"/>
  <c r="A68" i="6"/>
  <c r="M68" i="6" s="1"/>
  <c r="G67" i="12"/>
  <c r="X67" i="5"/>
  <c r="U63" i="12"/>
  <c r="T63" i="12"/>
  <c r="V63" i="12"/>
  <c r="E70" i="5"/>
  <c r="AE70" i="5"/>
  <c r="AD70" i="5"/>
  <c r="N70" i="5"/>
  <c r="B70" i="6"/>
  <c r="K70" i="5"/>
  <c r="J70" i="5"/>
  <c r="H70" i="5"/>
  <c r="W70" i="5"/>
  <c r="H70" i="12" s="1"/>
  <c r="G70" i="5"/>
  <c r="F70" i="5"/>
  <c r="C71" i="5"/>
  <c r="B70" i="5"/>
  <c r="A70" i="12"/>
  <c r="D70" i="5"/>
  <c r="B70" i="12" s="1"/>
  <c r="C65" i="12"/>
  <c r="M65" i="12"/>
  <c r="AO65" i="12"/>
  <c r="O65" i="12"/>
  <c r="Y64" i="12"/>
  <c r="D64" i="12"/>
  <c r="E64" i="6"/>
  <c r="AI67" i="6"/>
  <c r="AD67" i="6"/>
  <c r="AC67" i="6"/>
  <c r="AJ67" i="6"/>
  <c r="AK67" i="6"/>
  <c r="N65" i="12" l="1"/>
  <c r="AY68" i="6"/>
  <c r="AZ68" i="6"/>
  <c r="BA68" i="6"/>
  <c r="AS68" i="6"/>
  <c r="BD68" i="6"/>
  <c r="AN68" i="6"/>
  <c r="AO68" i="6"/>
  <c r="AP68" i="6"/>
  <c r="BC68" i="6"/>
  <c r="AQ68" i="6"/>
  <c r="AR68" i="6"/>
  <c r="AV68" i="6"/>
  <c r="AF68" i="6"/>
  <c r="BG68" i="6"/>
  <c r="AC68" i="6"/>
  <c r="AU68" i="6"/>
  <c r="AM68" i="6"/>
  <c r="AG68" i="6"/>
  <c r="AE68" i="6"/>
  <c r="AX68" i="6"/>
  <c r="BB68" i="6"/>
  <c r="BE68" i="6"/>
  <c r="BF68" i="6"/>
  <c r="AT68" i="6"/>
  <c r="AK68" i="6"/>
  <c r="L70" i="12"/>
  <c r="J70" i="12"/>
  <c r="E71" i="5"/>
  <c r="A71" i="12"/>
  <c r="F71" i="5"/>
  <c r="H71" i="5"/>
  <c r="W71" i="5"/>
  <c r="H71" i="12" s="1"/>
  <c r="J71" i="5"/>
  <c r="AD71" i="5"/>
  <c r="B71" i="6"/>
  <c r="G71" i="5"/>
  <c r="C72" i="5"/>
  <c r="AE71" i="5"/>
  <c r="B71" i="5"/>
  <c r="D71" i="5"/>
  <c r="B71" i="12" s="1"/>
  <c r="N71" i="5"/>
  <c r="K71" i="5"/>
  <c r="G68" i="12"/>
  <c r="X68" i="5"/>
  <c r="W64" i="12"/>
  <c r="X64" i="12"/>
  <c r="Y65" i="12"/>
  <c r="D70" i="6"/>
  <c r="A69" i="6"/>
  <c r="L67" i="5"/>
  <c r="AM67" i="5"/>
  <c r="I67" i="12"/>
  <c r="Z67" i="5"/>
  <c r="AC67" i="5"/>
  <c r="D65" i="12"/>
  <c r="E65" i="6"/>
  <c r="AH68" i="6"/>
  <c r="AB68" i="6"/>
  <c r="AD68" i="6"/>
  <c r="AJ68" i="6"/>
  <c r="AI68" i="6"/>
  <c r="G69" i="6"/>
  <c r="H69" i="6"/>
  <c r="T69" i="5" s="1"/>
  <c r="A70" i="6" l="1"/>
  <c r="G69" i="12"/>
  <c r="AA67" i="5"/>
  <c r="AB67" i="5"/>
  <c r="L68" i="5"/>
  <c r="I68" i="12"/>
  <c r="AM68" i="5"/>
  <c r="Z68" i="5"/>
  <c r="AC68" i="5"/>
  <c r="D71" i="6"/>
  <c r="L71" i="12"/>
  <c r="J71" i="12"/>
  <c r="K70" i="12"/>
  <c r="M69" i="6"/>
  <c r="C67" i="12"/>
  <c r="O67" i="12"/>
  <c r="M67" i="12"/>
  <c r="AO67" i="12"/>
  <c r="C67" i="6"/>
  <c r="O67" i="5"/>
  <c r="H70" i="6"/>
  <c r="T70" i="5" s="1"/>
  <c r="W65" i="12"/>
  <c r="X65" i="12"/>
  <c r="V64" i="12"/>
  <c r="T64" i="12"/>
  <c r="U64" i="12"/>
  <c r="F72" i="5"/>
  <c r="G72" i="5"/>
  <c r="N72" i="5"/>
  <c r="AD72" i="5"/>
  <c r="J72" i="5"/>
  <c r="B72" i="5"/>
  <c r="H72" i="5"/>
  <c r="D72" i="5"/>
  <c r="B72" i="12" s="1"/>
  <c r="A72" i="12"/>
  <c r="K72" i="5"/>
  <c r="B72" i="6"/>
  <c r="E72" i="5"/>
  <c r="C73" i="5"/>
  <c r="W72" i="5"/>
  <c r="H72" i="12" s="1"/>
  <c r="AE72" i="5"/>
  <c r="M70" i="6" l="1"/>
  <c r="BE70" i="6" s="1"/>
  <c r="Y67" i="12"/>
  <c r="X67" i="12" s="1"/>
  <c r="A71" i="6"/>
  <c r="N67" i="12"/>
  <c r="W73" i="5"/>
  <c r="H73" i="12" s="1"/>
  <c r="AE73" i="5"/>
  <c r="E73" i="5"/>
  <c r="AD73" i="5"/>
  <c r="H73" i="5"/>
  <c r="A73" i="12"/>
  <c r="D73" i="5"/>
  <c r="B73" i="12" s="1"/>
  <c r="B73" i="5"/>
  <c r="C74" i="5" s="1"/>
  <c r="R74" i="5" s="1"/>
  <c r="B73" i="6"/>
  <c r="J73" i="5"/>
  <c r="G73" i="5"/>
  <c r="N73" i="5"/>
  <c r="F73" i="5"/>
  <c r="K73" i="5"/>
  <c r="L72" i="12"/>
  <c r="J72" i="12"/>
  <c r="E67" i="6"/>
  <c r="D67" i="12"/>
  <c r="AU69" i="6"/>
  <c r="AV69" i="6"/>
  <c r="AM69" i="6"/>
  <c r="BE69" i="6"/>
  <c r="AZ69" i="6"/>
  <c r="AT69" i="6"/>
  <c r="AP69" i="6"/>
  <c r="AQ69" i="6"/>
  <c r="BD69" i="6"/>
  <c r="AN69" i="6"/>
  <c r="BF69" i="6"/>
  <c r="AR69" i="6"/>
  <c r="AO69" i="6"/>
  <c r="BB69" i="6"/>
  <c r="AX69" i="6"/>
  <c r="AY69" i="6"/>
  <c r="BA69" i="6"/>
  <c r="BG69" i="6"/>
  <c r="AS69" i="6"/>
  <c r="BC69" i="6"/>
  <c r="AJ69" i="6"/>
  <c r="AI69" i="6"/>
  <c r="AB69" i="6"/>
  <c r="H71" i="6"/>
  <c r="T71" i="5" s="1"/>
  <c r="AB68" i="5"/>
  <c r="AA68" i="5"/>
  <c r="C68" i="6"/>
  <c r="O68" i="5"/>
  <c r="AG69" i="6"/>
  <c r="D72" i="6"/>
  <c r="U65" i="12"/>
  <c r="T65" i="12"/>
  <c r="V65" i="12"/>
  <c r="G70" i="12"/>
  <c r="X70" i="5"/>
  <c r="AF69" i="6"/>
  <c r="AK69" i="6"/>
  <c r="AD69" i="6"/>
  <c r="AE69" i="6"/>
  <c r="K71" i="12"/>
  <c r="C68" i="12"/>
  <c r="M68" i="12"/>
  <c r="O68" i="12"/>
  <c r="AO68" i="12"/>
  <c r="AH69" i="6"/>
  <c r="AC69" i="6"/>
  <c r="AF74" i="5"/>
  <c r="W67" i="12" l="1"/>
  <c r="T67" i="12" s="1"/>
  <c r="AJ70" i="6"/>
  <c r="AU70" i="6"/>
  <c r="AI70" i="6"/>
  <c r="AB70" i="6"/>
  <c r="BC70" i="6"/>
  <c r="AQ70" i="6"/>
  <c r="AD70" i="6"/>
  <c r="AF70" i="6"/>
  <c r="AH70" i="6"/>
  <c r="AN70" i="6"/>
  <c r="AE70" i="6"/>
  <c r="BA70" i="6"/>
  <c r="AC70" i="6"/>
  <c r="AK70" i="6"/>
  <c r="AY70" i="6"/>
  <c r="AT70" i="6"/>
  <c r="AV70" i="6"/>
  <c r="BF70" i="6"/>
  <c r="BD70" i="6"/>
  <c r="AP70" i="6"/>
  <c r="BG70" i="6"/>
  <c r="AZ70" i="6"/>
  <c r="BB70" i="6"/>
  <c r="AS70" i="6"/>
  <c r="AG70" i="6"/>
  <c r="AX70" i="6"/>
  <c r="AR70" i="6"/>
  <c r="AO70" i="6"/>
  <c r="AM70" i="6"/>
  <c r="M71" i="6"/>
  <c r="AV71" i="6" s="1"/>
  <c r="A72" i="6"/>
  <c r="M72" i="6" s="1"/>
  <c r="BA72" i="6" s="1"/>
  <c r="AG74" i="5"/>
  <c r="S74" i="5"/>
  <c r="F74" i="12" s="1"/>
  <c r="Y68" i="12"/>
  <c r="X68" i="12" s="1"/>
  <c r="C75" i="5"/>
  <c r="AE74" i="5"/>
  <c r="E74" i="5"/>
  <c r="G74" i="5"/>
  <c r="AD74" i="5"/>
  <c r="F74" i="5"/>
  <c r="K66" i="5" s="1"/>
  <c r="A74" i="12"/>
  <c r="H74" i="5"/>
  <c r="W74" i="5"/>
  <c r="H74" i="12" s="1"/>
  <c r="B74" i="6"/>
  <c r="N74" i="5"/>
  <c r="B74" i="5"/>
  <c r="E68" i="6"/>
  <c r="D68" i="12"/>
  <c r="J73" i="12"/>
  <c r="L73" i="12"/>
  <c r="N68" i="12"/>
  <c r="I70" i="12"/>
  <c r="L70" i="5"/>
  <c r="AM70" i="5"/>
  <c r="Z70" i="5"/>
  <c r="H72" i="6"/>
  <c r="T72" i="5" s="1"/>
  <c r="G71" i="12"/>
  <c r="X71" i="5"/>
  <c r="K72" i="12"/>
  <c r="D73" i="6"/>
  <c r="U67" i="12" l="1"/>
  <c r="V67" i="12"/>
  <c r="AB71" i="6"/>
  <c r="AE71" i="6"/>
  <c r="AJ71" i="6"/>
  <c r="AR71" i="6"/>
  <c r="AP71" i="6"/>
  <c r="BD71" i="6"/>
  <c r="AX71" i="6"/>
  <c r="BC71" i="6"/>
  <c r="AH71" i="6"/>
  <c r="AY71" i="6"/>
  <c r="AQ71" i="6"/>
  <c r="AU71" i="6"/>
  <c r="AG71" i="6"/>
  <c r="AZ71" i="6"/>
  <c r="BE71" i="6"/>
  <c r="AI71" i="6"/>
  <c r="AT71" i="6"/>
  <c r="AC71" i="6"/>
  <c r="AO71" i="6"/>
  <c r="AF71" i="6"/>
  <c r="AM71" i="6"/>
  <c r="A73" i="6"/>
  <c r="M73" i="6" s="1"/>
  <c r="BC73" i="6" s="1"/>
  <c r="AS71" i="6"/>
  <c r="BA71" i="6"/>
  <c r="AK71" i="6"/>
  <c r="BB71" i="6"/>
  <c r="AD71" i="6"/>
  <c r="AN71" i="6"/>
  <c r="BG71" i="6"/>
  <c r="BF71" i="6"/>
  <c r="K73" i="12"/>
  <c r="W68" i="12"/>
  <c r="U68" i="12" s="1"/>
  <c r="AD72" i="6"/>
  <c r="AG72" i="6"/>
  <c r="BD72" i="6"/>
  <c r="AI72" i="6"/>
  <c r="AF72" i="6"/>
  <c r="AU72" i="6"/>
  <c r="AE72" i="6"/>
  <c r="AH72" i="6"/>
  <c r="AJ72" i="6"/>
  <c r="AM72" i="6"/>
  <c r="AV72" i="6"/>
  <c r="AC72" i="6"/>
  <c r="BC72" i="6"/>
  <c r="BG72" i="6"/>
  <c r="AQ72" i="6"/>
  <c r="AB70" i="5"/>
  <c r="C70" i="6"/>
  <c r="E74" i="12"/>
  <c r="F74" i="6"/>
  <c r="H73" i="6"/>
  <c r="T73" i="5" s="1"/>
  <c r="I71" i="12"/>
  <c r="AM71" i="5"/>
  <c r="L71" i="5"/>
  <c r="Z71" i="5"/>
  <c r="AY72" i="6"/>
  <c r="BB72" i="6"/>
  <c r="AZ72" i="6"/>
  <c r="AO72" i="6"/>
  <c r="AK72" i="6"/>
  <c r="BE72" i="6"/>
  <c r="AN72" i="6"/>
  <c r="G72" i="12"/>
  <c r="X72" i="5"/>
  <c r="AX72" i="6"/>
  <c r="AB72" i="6"/>
  <c r="AR72" i="6"/>
  <c r="AS72" i="6"/>
  <c r="BF72" i="6"/>
  <c r="AP72" i="6"/>
  <c r="AT72" i="6"/>
  <c r="C70" i="12"/>
  <c r="AO70" i="12"/>
  <c r="M70" i="12"/>
  <c r="O70" i="12"/>
  <c r="D74" i="6"/>
  <c r="N75" i="5"/>
  <c r="G75" i="5"/>
  <c r="W75" i="5"/>
  <c r="H75" i="12" s="1"/>
  <c r="B75" i="5"/>
  <c r="AE75" i="5"/>
  <c r="H75" i="5"/>
  <c r="E75" i="5"/>
  <c r="F75" i="5"/>
  <c r="AD75" i="5"/>
  <c r="A75" i="12"/>
  <c r="C76" i="5"/>
  <c r="B75" i="6"/>
  <c r="A74" i="6" l="1"/>
  <c r="M74" i="6" s="1"/>
  <c r="AS74" i="6" s="1"/>
  <c r="T68" i="12"/>
  <c r="V68" i="12"/>
  <c r="AX73" i="6"/>
  <c r="BF73" i="6"/>
  <c r="AQ73" i="6"/>
  <c r="BA73" i="6"/>
  <c r="BG73" i="6"/>
  <c r="AC73" i="6"/>
  <c r="AJ73" i="6"/>
  <c r="AT73" i="6"/>
  <c r="AF73" i="6"/>
  <c r="AP73" i="6"/>
  <c r="AG73" i="6"/>
  <c r="AY73" i="6"/>
  <c r="AZ73" i="6"/>
  <c r="N70" i="12"/>
  <c r="BD73" i="6"/>
  <c r="AB73" i="6"/>
  <c r="AS73" i="6"/>
  <c r="BE73" i="6"/>
  <c r="H76" i="5"/>
  <c r="B76" i="5"/>
  <c r="B76" i="6"/>
  <c r="G76" i="5"/>
  <c r="J76" i="5"/>
  <c r="D76" i="5"/>
  <c r="B76" i="12" s="1"/>
  <c r="N76" i="5"/>
  <c r="A76" i="12"/>
  <c r="C77" i="5"/>
  <c r="E76" i="5"/>
  <c r="AE76" i="5"/>
  <c r="K76" i="5"/>
  <c r="AD76" i="5"/>
  <c r="F76" i="5"/>
  <c r="W76" i="5"/>
  <c r="H76" i="12" s="1"/>
  <c r="Y70" i="12"/>
  <c r="C71" i="6"/>
  <c r="C71" i="12"/>
  <c r="M71" i="12"/>
  <c r="AO71" i="12"/>
  <c r="O71" i="12"/>
  <c r="G73" i="12"/>
  <c r="X73" i="5"/>
  <c r="D75" i="6"/>
  <c r="G74" i="6"/>
  <c r="H74" i="6"/>
  <c r="T74" i="5" s="1"/>
  <c r="G74" i="12" s="1"/>
  <c r="AM72" i="5"/>
  <c r="I72" i="12"/>
  <c r="L72" i="5"/>
  <c r="Z72" i="5"/>
  <c r="AB71" i="5"/>
  <c r="AK73" i="6"/>
  <c r="AD73" i="6"/>
  <c r="AV73" i="6"/>
  <c r="AU73" i="6"/>
  <c r="AN73" i="6"/>
  <c r="AE73" i="6"/>
  <c r="AI73" i="6"/>
  <c r="AH73" i="6"/>
  <c r="AM73" i="6"/>
  <c r="BB73" i="6"/>
  <c r="AO73" i="6"/>
  <c r="AR73" i="6"/>
  <c r="BD74" i="6" l="1"/>
  <c r="AO74" i="6"/>
  <c r="BG74" i="6"/>
  <c r="BC74" i="6"/>
  <c r="AN74" i="6"/>
  <c r="AP74" i="6"/>
  <c r="AM74" i="6"/>
  <c r="BF74" i="6"/>
  <c r="BA74" i="6"/>
  <c r="AY74" i="6"/>
  <c r="AT74" i="6"/>
  <c r="AU74" i="6"/>
  <c r="AV74" i="6"/>
  <c r="BE74" i="6"/>
  <c r="AR74" i="6"/>
  <c r="AZ74" i="6"/>
  <c r="BB74" i="6"/>
  <c r="AX74" i="6"/>
  <c r="AQ74" i="6"/>
  <c r="N71" i="12"/>
  <c r="AI74" i="6"/>
  <c r="AE74" i="6"/>
  <c r="AC74" i="6"/>
  <c r="AH74" i="6"/>
  <c r="AK74" i="6"/>
  <c r="AJ74" i="6"/>
  <c r="AB72" i="5"/>
  <c r="C72" i="6"/>
  <c r="I73" i="12"/>
  <c r="L73" i="5"/>
  <c r="AM73" i="5"/>
  <c r="Z73" i="5"/>
  <c r="W70" i="12"/>
  <c r="X70" i="12"/>
  <c r="J76" i="12"/>
  <c r="L76" i="12"/>
  <c r="C72" i="12"/>
  <c r="O72" i="12"/>
  <c r="M72" i="12"/>
  <c r="AO72" i="12"/>
  <c r="AD74" i="6"/>
  <c r="AB74" i="6"/>
  <c r="AF74" i="6"/>
  <c r="AG74" i="6"/>
  <c r="H75" i="6"/>
  <c r="T75" i="5" s="1"/>
  <c r="Y71" i="12"/>
  <c r="A77" i="12"/>
  <c r="H77" i="5"/>
  <c r="C78" i="5"/>
  <c r="B77" i="5"/>
  <c r="N77" i="5"/>
  <c r="G77" i="5"/>
  <c r="AD77" i="5"/>
  <c r="B77" i="6"/>
  <c r="AE77" i="5"/>
  <c r="F77" i="5"/>
  <c r="K75" i="5" s="1"/>
  <c r="E77" i="5"/>
  <c r="W77" i="5"/>
  <c r="H77" i="12" s="1"/>
  <c r="D76" i="6"/>
  <c r="A75" i="6"/>
  <c r="M75" i="6" s="1"/>
  <c r="Y72" i="12" l="1"/>
  <c r="W72" i="12" s="1"/>
  <c r="N72" i="12"/>
  <c r="K76" i="12"/>
  <c r="BE75" i="6"/>
  <c r="BC75" i="6"/>
  <c r="AM75" i="6"/>
  <c r="AY75" i="6"/>
  <c r="AV75" i="6"/>
  <c r="AS75" i="6"/>
  <c r="AZ75" i="6"/>
  <c r="BD75" i="6"/>
  <c r="AU75" i="6"/>
  <c r="BA75" i="6"/>
  <c r="AX75" i="6"/>
  <c r="AP75" i="6"/>
  <c r="AR75" i="6"/>
  <c r="BB75" i="6"/>
  <c r="AQ75" i="6"/>
  <c r="AK75" i="6"/>
  <c r="AH75" i="6"/>
  <c r="AE75" i="6"/>
  <c r="AN75" i="6"/>
  <c r="AT75" i="6"/>
  <c r="AO75" i="6"/>
  <c r="AI75" i="6"/>
  <c r="BG75" i="6"/>
  <c r="AG75" i="6"/>
  <c r="BF75" i="6"/>
  <c r="AF75" i="6"/>
  <c r="H76" i="6"/>
  <c r="T76" i="5" s="1"/>
  <c r="E78" i="5"/>
  <c r="B78" i="6"/>
  <c r="J78" i="5"/>
  <c r="N78" i="5"/>
  <c r="F78" i="5"/>
  <c r="AD78" i="5"/>
  <c r="D78" i="5"/>
  <c r="B78" i="12" s="1"/>
  <c r="G78" i="5"/>
  <c r="K78" i="5"/>
  <c r="B78" i="5"/>
  <c r="W78" i="5"/>
  <c r="H78" i="12" s="1"/>
  <c r="AE78" i="5"/>
  <c r="H78" i="5"/>
  <c r="A78" i="12"/>
  <c r="C79" i="5"/>
  <c r="X71" i="12"/>
  <c r="W71" i="12"/>
  <c r="G75" i="12"/>
  <c r="X72" i="12"/>
  <c r="A76" i="6"/>
  <c r="AB73" i="5"/>
  <c r="C73" i="12"/>
  <c r="AO73" i="12"/>
  <c r="M73" i="12"/>
  <c r="O73" i="12"/>
  <c r="D77" i="6"/>
  <c r="AJ75" i="6"/>
  <c r="AD75" i="6"/>
  <c r="AB75" i="6"/>
  <c r="AC75" i="6"/>
  <c r="V70" i="12"/>
  <c r="T70" i="12"/>
  <c r="U70" i="12"/>
  <c r="C73" i="6"/>
  <c r="N73" i="12" l="1"/>
  <c r="A77" i="6"/>
  <c r="M77" i="6" s="1"/>
  <c r="H77" i="6"/>
  <c r="T77" i="5" s="1"/>
  <c r="Y73" i="12"/>
  <c r="V72" i="12"/>
  <c r="U72" i="12"/>
  <c r="T72" i="12"/>
  <c r="B79" i="6"/>
  <c r="E79" i="5"/>
  <c r="F79" i="5"/>
  <c r="D79" i="5"/>
  <c r="B79" i="12" s="1"/>
  <c r="J79" i="5"/>
  <c r="H79" i="5"/>
  <c r="N79" i="5"/>
  <c r="A79" i="12"/>
  <c r="AE79" i="5"/>
  <c r="G79" i="5"/>
  <c r="K79" i="5"/>
  <c r="C80" i="5"/>
  <c r="B79" i="5"/>
  <c r="W79" i="5"/>
  <c r="H79" i="12" s="1"/>
  <c r="AD79" i="5"/>
  <c r="J78" i="12"/>
  <c r="L78" i="12"/>
  <c r="D78" i="6"/>
  <c r="M76" i="6"/>
  <c r="AJ76" i="6" s="1"/>
  <c r="U71" i="12"/>
  <c r="T71" i="12"/>
  <c r="V71" i="12"/>
  <c r="G76" i="12"/>
  <c r="X76" i="5"/>
  <c r="AB76" i="6" l="1"/>
  <c r="AC76" i="6"/>
  <c r="AN77" i="6"/>
  <c r="BA77" i="6"/>
  <c r="AZ77" i="6"/>
  <c r="AR77" i="6"/>
  <c r="AD76" i="6"/>
  <c r="A78" i="6"/>
  <c r="M78" i="6" s="1"/>
  <c r="K78" i="12"/>
  <c r="AF77" i="6"/>
  <c r="H80" i="5"/>
  <c r="AE80" i="5"/>
  <c r="E80" i="5"/>
  <c r="D80" i="5"/>
  <c r="B80" i="12" s="1"/>
  <c r="A80" i="12"/>
  <c r="W80" i="5"/>
  <c r="H80" i="12" s="1"/>
  <c r="B80" i="6"/>
  <c r="K80" i="5"/>
  <c r="G80" i="5"/>
  <c r="F80" i="5"/>
  <c r="N80" i="5"/>
  <c r="C81" i="5"/>
  <c r="J80" i="5"/>
  <c r="B80" i="5"/>
  <c r="AD80" i="5"/>
  <c r="AI77" i="6"/>
  <c r="AB77" i="6"/>
  <c r="AE77" i="6"/>
  <c r="BG77" i="6"/>
  <c r="AG77" i="6"/>
  <c r="AT77" i="6"/>
  <c r="AM77" i="6"/>
  <c r="AP77" i="6"/>
  <c r="AX77" i="6"/>
  <c r="AS77" i="6"/>
  <c r="AU77" i="6"/>
  <c r="I76" i="12"/>
  <c r="L76" i="5"/>
  <c r="AM76" i="5"/>
  <c r="Z76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H78" i="6"/>
  <c r="T78" i="5" s="1"/>
  <c r="L79" i="12"/>
  <c r="J79" i="12"/>
  <c r="D79" i="6"/>
  <c r="W73" i="12"/>
  <c r="X73" i="12"/>
  <c r="AO77" i="6"/>
  <c r="AY77" i="6"/>
  <c r="AJ77" i="6"/>
  <c r="BD77" i="6"/>
  <c r="AK77" i="6"/>
  <c r="BC77" i="6"/>
  <c r="AQ77" i="6"/>
  <c r="AV77" i="6"/>
  <c r="AC77" i="6"/>
  <c r="BE77" i="6"/>
  <c r="AH77" i="6"/>
  <c r="AD77" i="6"/>
  <c r="BB77" i="6"/>
  <c r="BF77" i="6"/>
  <c r="G77" i="12"/>
  <c r="AY78" i="6" l="1"/>
  <c r="BC78" i="6"/>
  <c r="AS78" i="6"/>
  <c r="BB78" i="6"/>
  <c r="AM78" i="6"/>
  <c r="AT78" i="6"/>
  <c r="BE78" i="6"/>
  <c r="AU78" i="6"/>
  <c r="AV78" i="6"/>
  <c r="AO78" i="6"/>
  <c r="BF78" i="6"/>
  <c r="AZ78" i="6"/>
  <c r="AN78" i="6"/>
  <c r="AQ78" i="6"/>
  <c r="AF78" i="6"/>
  <c r="AP78" i="6"/>
  <c r="AX78" i="6"/>
  <c r="BA78" i="6"/>
  <c r="AE78" i="6"/>
  <c r="AR78" i="6"/>
  <c r="BD78" i="6"/>
  <c r="BG78" i="6"/>
  <c r="AG78" i="6"/>
  <c r="AK78" i="6"/>
  <c r="AB78" i="6"/>
  <c r="AH78" i="6"/>
  <c r="AD78" i="6"/>
  <c r="V73" i="12"/>
  <c r="T73" i="12"/>
  <c r="U73" i="12"/>
  <c r="H79" i="6"/>
  <c r="T79" i="5" s="1"/>
  <c r="K79" i="12"/>
  <c r="C76" i="12"/>
  <c r="M76" i="12"/>
  <c r="AO76" i="12"/>
  <c r="O76" i="12"/>
  <c r="D80" i="6"/>
  <c r="A79" i="6"/>
  <c r="M79" i="6" s="1"/>
  <c r="G78" i="12"/>
  <c r="X78" i="5"/>
  <c r="AC78" i="6"/>
  <c r="AI78" i="6"/>
  <c r="AJ78" i="6"/>
  <c r="AB76" i="5"/>
  <c r="C76" i="6"/>
  <c r="A81" i="12"/>
  <c r="B81" i="6"/>
  <c r="E81" i="5"/>
  <c r="AD81" i="5"/>
  <c r="W81" i="5"/>
  <c r="H81" i="12" s="1"/>
  <c r="H81" i="5"/>
  <c r="D81" i="5"/>
  <c r="B81" i="12" s="1"/>
  <c r="G81" i="5"/>
  <c r="B81" i="5"/>
  <c r="C82" i="5"/>
  <c r="F81" i="5"/>
  <c r="AE81" i="5"/>
  <c r="N81" i="5"/>
  <c r="J81" i="5"/>
  <c r="K81" i="5"/>
  <c r="L80" i="12"/>
  <c r="J80" i="12"/>
  <c r="N76" i="12" l="1"/>
  <c r="AX79" i="6"/>
  <c r="AT79" i="6"/>
  <c r="BC79" i="6"/>
  <c r="AR79" i="6"/>
  <c r="AU79" i="6"/>
  <c r="BB79" i="6"/>
  <c r="AV79" i="6"/>
  <c r="BF79" i="6"/>
  <c r="AM79" i="6"/>
  <c r="BD79" i="6"/>
  <c r="AZ79" i="6"/>
  <c r="AN79" i="6"/>
  <c r="AQ79" i="6"/>
  <c r="BG79" i="6"/>
  <c r="AY79" i="6"/>
  <c r="AO79" i="6"/>
  <c r="AS79" i="6"/>
  <c r="BA79" i="6"/>
  <c r="AP79" i="6"/>
  <c r="BE79" i="6"/>
  <c r="AJ79" i="6"/>
  <c r="D81" i="6"/>
  <c r="A82" i="12"/>
  <c r="H82" i="5"/>
  <c r="E82" i="5"/>
  <c r="W82" i="5"/>
  <c r="H82" i="12" s="1"/>
  <c r="F82" i="5"/>
  <c r="C83" i="5"/>
  <c r="N82" i="5"/>
  <c r="D82" i="5"/>
  <c r="B82" i="12" s="1"/>
  <c r="B82" i="6"/>
  <c r="B82" i="5"/>
  <c r="J82" i="5"/>
  <c r="K82" i="5"/>
  <c r="AD82" i="5"/>
  <c r="G82" i="5"/>
  <c r="AE82" i="5"/>
  <c r="G79" i="12"/>
  <c r="X79" i="5"/>
  <c r="AE79" i="6"/>
  <c r="AH79" i="6"/>
  <c r="AD79" i="6"/>
  <c r="K80" i="12"/>
  <c r="J81" i="12"/>
  <c r="L81" i="12"/>
  <c r="L78" i="5"/>
  <c r="AM78" i="5"/>
  <c r="I78" i="12"/>
  <c r="Z78" i="5"/>
  <c r="A80" i="6"/>
  <c r="M80" i="6" s="1"/>
  <c r="AX80" i="6" s="1"/>
  <c r="H80" i="6"/>
  <c r="T80" i="5" s="1"/>
  <c r="Y76" i="12"/>
  <c r="AG79" i="6"/>
  <c r="AK79" i="6"/>
  <c r="AF79" i="6"/>
  <c r="AC79" i="6"/>
  <c r="AB79" i="6"/>
  <c r="AI79" i="6"/>
  <c r="K81" i="12" l="1"/>
  <c r="BC80" i="6"/>
  <c r="BB80" i="6"/>
  <c r="AH80" i="6"/>
  <c r="BE80" i="6"/>
  <c r="A81" i="6"/>
  <c r="AF80" i="6"/>
  <c r="AS80" i="6"/>
  <c r="BD80" i="6"/>
  <c r="AZ80" i="6"/>
  <c r="AD80" i="6"/>
  <c r="AJ80" i="6"/>
  <c r="AP80" i="6"/>
  <c r="AN80" i="6"/>
  <c r="AR80" i="6"/>
  <c r="AY80" i="6"/>
  <c r="G80" i="12"/>
  <c r="X80" i="5"/>
  <c r="AB78" i="5"/>
  <c r="C78" i="12"/>
  <c r="AO78" i="12"/>
  <c r="M78" i="12"/>
  <c r="O78" i="12"/>
  <c r="C78" i="6"/>
  <c r="AM79" i="5"/>
  <c r="I79" i="12"/>
  <c r="L79" i="5"/>
  <c r="Z79" i="5"/>
  <c r="D82" i="6"/>
  <c r="L82" i="12"/>
  <c r="J82" i="12"/>
  <c r="H81" i="6"/>
  <c r="T81" i="5" s="1"/>
  <c r="W76" i="12"/>
  <c r="X76" i="12"/>
  <c r="AT80" i="6"/>
  <c r="AB80" i="6"/>
  <c r="AV80" i="6"/>
  <c r="AG80" i="6"/>
  <c r="AI80" i="6"/>
  <c r="AM80" i="6"/>
  <c r="BA80" i="6"/>
  <c r="AK80" i="6"/>
  <c r="AE80" i="6"/>
  <c r="AC80" i="6"/>
  <c r="BF80" i="6"/>
  <c r="AQ80" i="6"/>
  <c r="AU80" i="6"/>
  <c r="BG80" i="6"/>
  <c r="AO80" i="6"/>
  <c r="D83" i="5"/>
  <c r="B83" i="12" s="1"/>
  <c r="A83" i="12"/>
  <c r="K83" i="5"/>
  <c r="G83" i="5"/>
  <c r="H83" i="5"/>
  <c r="E83" i="5"/>
  <c r="B83" i="6"/>
  <c r="N83" i="5"/>
  <c r="W83" i="5"/>
  <c r="H83" i="12" s="1"/>
  <c r="AE83" i="5"/>
  <c r="B83" i="5"/>
  <c r="J83" i="5"/>
  <c r="AD83" i="5"/>
  <c r="F83" i="5"/>
  <c r="C84" i="5"/>
  <c r="M81" i="6" l="1"/>
  <c r="AF81" i="6" s="1"/>
  <c r="N78" i="12"/>
  <c r="J84" i="5"/>
  <c r="W84" i="5"/>
  <c r="H84" i="12" s="1"/>
  <c r="G84" i="5"/>
  <c r="F84" i="5"/>
  <c r="A84" i="12"/>
  <c r="K84" i="5"/>
  <c r="H84" i="5"/>
  <c r="B84" i="6"/>
  <c r="B84" i="5"/>
  <c r="C85" i="5" s="1"/>
  <c r="R85" i="5" s="1"/>
  <c r="E84" i="5"/>
  <c r="D84" i="5"/>
  <c r="B84" i="12" s="1"/>
  <c r="AE84" i="5"/>
  <c r="AD84" i="5"/>
  <c r="N84" i="5"/>
  <c r="U76" i="12"/>
  <c r="V76" i="12"/>
  <c r="T76" i="12"/>
  <c r="H82" i="6"/>
  <c r="T82" i="5" s="1"/>
  <c r="A82" i="6"/>
  <c r="C79" i="12"/>
  <c r="M79" i="12"/>
  <c r="O79" i="12"/>
  <c r="AO79" i="12"/>
  <c r="Y78" i="12"/>
  <c r="AM80" i="5"/>
  <c r="L80" i="5"/>
  <c r="I80" i="12"/>
  <c r="Z80" i="5"/>
  <c r="D83" i="6"/>
  <c r="J83" i="12"/>
  <c r="L83" i="12"/>
  <c r="G81" i="12"/>
  <c r="X81" i="5"/>
  <c r="K82" i="12"/>
  <c r="AB79" i="5"/>
  <c r="C79" i="6"/>
  <c r="AF85" i="5"/>
  <c r="BE81" i="6" l="1"/>
  <c r="AS81" i="6"/>
  <c r="AC81" i="6"/>
  <c r="AT81" i="6"/>
  <c r="AB81" i="6"/>
  <c r="BC81" i="6"/>
  <c r="AX81" i="6"/>
  <c r="AO81" i="6"/>
  <c r="AD81" i="6"/>
  <c r="N79" i="12"/>
  <c r="AG85" i="5"/>
  <c r="S85" i="5"/>
  <c r="F85" i="12" s="1"/>
  <c r="M82" i="6"/>
  <c r="AC82" i="6" s="1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K83" i="12"/>
  <c r="A83" i="6"/>
  <c r="H83" i="6"/>
  <c r="T83" i="5" s="1"/>
  <c r="C80" i="6"/>
  <c r="W78" i="12"/>
  <c r="X78" i="12"/>
  <c r="D84" i="6"/>
  <c r="AM81" i="5"/>
  <c r="I81" i="12"/>
  <c r="L81" i="5"/>
  <c r="Z81" i="5"/>
  <c r="AB80" i="5"/>
  <c r="C80" i="12"/>
  <c r="AO80" i="12"/>
  <c r="M80" i="12"/>
  <c r="O80" i="12"/>
  <c r="Y79" i="12"/>
  <c r="G82" i="12"/>
  <c r="X82" i="5"/>
  <c r="AD85" i="5"/>
  <c r="W85" i="5"/>
  <c r="H85" i="12" s="1"/>
  <c r="H85" i="5"/>
  <c r="N85" i="5"/>
  <c r="F85" i="5"/>
  <c r="G85" i="5"/>
  <c r="E85" i="5"/>
  <c r="B85" i="6"/>
  <c r="AE85" i="5"/>
  <c r="A85" i="12"/>
  <c r="B85" i="5"/>
  <c r="C86" i="5"/>
  <c r="J84" i="12"/>
  <c r="L84" i="12"/>
  <c r="A84" i="6" l="1"/>
  <c r="M84" i="6" s="1"/>
  <c r="BA84" i="6" s="1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M83" i="6"/>
  <c r="BC83" i="6" s="1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K84" i="12"/>
  <c r="D86" i="5"/>
  <c r="B86" i="12" s="1"/>
  <c r="A86" i="12"/>
  <c r="G86" i="5"/>
  <c r="J86" i="5"/>
  <c r="AE86" i="5"/>
  <c r="N86" i="5"/>
  <c r="B86" i="6"/>
  <c r="K86" i="5"/>
  <c r="E86" i="5"/>
  <c r="B86" i="5"/>
  <c r="C87" i="5"/>
  <c r="W86" i="5"/>
  <c r="H86" i="12" s="1"/>
  <c r="F86" i="5"/>
  <c r="H86" i="5"/>
  <c r="AD86" i="5"/>
  <c r="D85" i="6"/>
  <c r="I82" i="12"/>
  <c r="L82" i="5"/>
  <c r="AM82" i="5"/>
  <c r="Z82" i="5"/>
  <c r="W79" i="12"/>
  <c r="X79" i="12"/>
  <c r="C81" i="12"/>
  <c r="AO81" i="12"/>
  <c r="O81" i="12"/>
  <c r="M81" i="12"/>
  <c r="H84" i="6"/>
  <c r="T84" i="5" s="1"/>
  <c r="G83" i="12"/>
  <c r="X83" i="5"/>
  <c r="E85" i="12"/>
  <c r="F85" i="6"/>
  <c r="N80" i="12"/>
  <c r="Y80" i="12"/>
  <c r="AB81" i="5"/>
  <c r="C81" i="6"/>
  <c r="U78" i="12"/>
  <c r="V78" i="12"/>
  <c r="T78" i="12"/>
  <c r="AD83" i="6" l="1"/>
  <c r="AQ83" i="6"/>
  <c r="AY83" i="6"/>
  <c r="AI83" i="6"/>
  <c r="AC83" i="6"/>
  <c r="AZ83" i="6"/>
  <c r="BA83" i="6"/>
  <c r="AK83" i="6"/>
  <c r="A85" i="6"/>
  <c r="AG83" i="6"/>
  <c r="AO83" i="6"/>
  <c r="AX84" i="6"/>
  <c r="AX83" i="6"/>
  <c r="AE83" i="6"/>
  <c r="AR83" i="6"/>
  <c r="BE84" i="6"/>
  <c r="AN84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BD84" i="6"/>
  <c r="AS84" i="6"/>
  <c r="AP84" i="6"/>
  <c r="AK84" i="6"/>
  <c r="AB84" i="6"/>
  <c r="AY84" i="6"/>
  <c r="AF84" i="6"/>
  <c r="AZ84" i="6"/>
  <c r="AO84" i="6"/>
  <c r="AJ84" i="6"/>
  <c r="AI84" i="6"/>
  <c r="N81" i="12"/>
  <c r="X80" i="12"/>
  <c r="W80" i="12"/>
  <c r="U79" i="12"/>
  <c r="T79" i="12"/>
  <c r="V79" i="12"/>
  <c r="AB82" i="5"/>
  <c r="C82" i="12"/>
  <c r="O82" i="12"/>
  <c r="AO82" i="12"/>
  <c r="M82" i="12"/>
  <c r="M85" i="6"/>
  <c r="AO85" i="6" s="1"/>
  <c r="G85" i="6"/>
  <c r="H85" i="6"/>
  <c r="T85" i="5" s="1"/>
  <c r="H87" i="5"/>
  <c r="C88" i="5"/>
  <c r="B87" i="5"/>
  <c r="N87" i="5"/>
  <c r="E87" i="5"/>
  <c r="W87" i="5"/>
  <c r="H87" i="12" s="1"/>
  <c r="K87" i="5"/>
  <c r="AD87" i="5"/>
  <c r="B87" i="6"/>
  <c r="J87" i="5"/>
  <c r="AE87" i="5"/>
  <c r="A87" i="12"/>
  <c r="D87" i="5"/>
  <c r="B87" i="12" s="1"/>
  <c r="G87" i="5"/>
  <c r="F87" i="5"/>
  <c r="D86" i="6"/>
  <c r="J86" i="12"/>
  <c r="L86" i="12"/>
  <c r="AM83" i="5"/>
  <c r="L83" i="5"/>
  <c r="I83" i="12"/>
  <c r="Z83" i="5"/>
  <c r="AG84" i="6"/>
  <c r="BG84" i="6"/>
  <c r="BC84" i="6"/>
  <c r="AC84" i="6"/>
  <c r="AR84" i="6"/>
  <c r="AE84" i="6"/>
  <c r="AU84" i="6"/>
  <c r="BB84" i="6"/>
  <c r="AQ84" i="6"/>
  <c r="AD84" i="6"/>
  <c r="AH84" i="6"/>
  <c r="BF84" i="6"/>
  <c r="AM84" i="6"/>
  <c r="AV84" i="6"/>
  <c r="AT84" i="6"/>
  <c r="G84" i="12"/>
  <c r="X84" i="5"/>
  <c r="Y81" i="12"/>
  <c r="C82" i="6"/>
  <c r="A86" i="6" l="1"/>
  <c r="BG85" i="6"/>
  <c r="AN85" i="6"/>
  <c r="BD85" i="6"/>
  <c r="AP85" i="6"/>
  <c r="AQ85" i="6"/>
  <c r="AT85" i="6"/>
  <c r="AY85" i="6"/>
  <c r="BA85" i="6"/>
  <c r="AU85" i="6"/>
  <c r="AS85" i="6"/>
  <c r="BF85" i="6"/>
  <c r="AM85" i="6"/>
  <c r="Y82" i="12"/>
  <c r="W82" i="12" s="1"/>
  <c r="W81" i="12"/>
  <c r="X81" i="12"/>
  <c r="C83" i="6"/>
  <c r="H86" i="6"/>
  <c r="T86" i="5" s="1"/>
  <c r="J87" i="12"/>
  <c r="L87" i="12"/>
  <c r="G85" i="12"/>
  <c r="AC85" i="6"/>
  <c r="AF85" i="6"/>
  <c r="V80" i="12"/>
  <c r="T80" i="12"/>
  <c r="U80" i="12"/>
  <c r="I84" i="12"/>
  <c r="L84" i="5"/>
  <c r="AM84" i="5"/>
  <c r="Z84" i="5"/>
  <c r="AB83" i="5"/>
  <c r="C83" i="12"/>
  <c r="AO83" i="12"/>
  <c r="M83" i="12"/>
  <c r="O83" i="12"/>
  <c r="K86" i="12"/>
  <c r="D87" i="6"/>
  <c r="B88" i="6"/>
  <c r="B88" i="5"/>
  <c r="W88" i="5"/>
  <c r="H88" i="12" s="1"/>
  <c r="E88" i="5"/>
  <c r="H88" i="5"/>
  <c r="K88" i="5"/>
  <c r="G88" i="5"/>
  <c r="N88" i="5"/>
  <c r="D88" i="5"/>
  <c r="B88" i="12" s="1"/>
  <c r="J88" i="5"/>
  <c r="A88" i="12"/>
  <c r="C89" i="5"/>
  <c r="F88" i="5"/>
  <c r="AE88" i="5"/>
  <c r="AD88" i="5"/>
  <c r="AB85" i="6"/>
  <c r="AV85" i="6"/>
  <c r="AD85" i="6"/>
  <c r="BB85" i="6"/>
  <c r="AK85" i="6"/>
  <c r="AZ85" i="6"/>
  <c r="AR85" i="6"/>
  <c r="AX85" i="6"/>
  <c r="AI85" i="6"/>
  <c r="AH85" i="6"/>
  <c r="BC85" i="6"/>
  <c r="AJ85" i="6"/>
  <c r="AE85" i="6"/>
  <c r="BE85" i="6"/>
  <c r="AG85" i="6"/>
  <c r="N82" i="12"/>
  <c r="M86" i="6" l="1"/>
  <c r="BA86" i="6" s="1"/>
  <c r="A87" i="6"/>
  <c r="X82" i="12"/>
  <c r="K87" i="12"/>
  <c r="C90" i="5"/>
  <c r="J89" i="5"/>
  <c r="A89" i="12"/>
  <c r="AD89" i="5"/>
  <c r="B89" i="5"/>
  <c r="E89" i="5"/>
  <c r="N89" i="5"/>
  <c r="D89" i="5"/>
  <c r="B89" i="12" s="1"/>
  <c r="F89" i="5"/>
  <c r="K89" i="5"/>
  <c r="B89" i="6"/>
  <c r="G89" i="5"/>
  <c r="AE89" i="5"/>
  <c r="W89" i="5"/>
  <c r="H89" i="12" s="1"/>
  <c r="H89" i="5"/>
  <c r="D88" i="6"/>
  <c r="C84" i="12"/>
  <c r="M84" i="12"/>
  <c r="O84" i="12"/>
  <c r="AO84" i="12"/>
  <c r="G86" i="12"/>
  <c r="X86" i="5"/>
  <c r="J88" i="12"/>
  <c r="L88" i="12"/>
  <c r="H87" i="6"/>
  <c r="T87" i="5" s="1"/>
  <c r="N83" i="12"/>
  <c r="Y83" i="12"/>
  <c r="AB84" i="5"/>
  <c r="C84" i="6"/>
  <c r="T82" i="12"/>
  <c r="V82" i="12"/>
  <c r="U82" i="12"/>
  <c r="U81" i="12"/>
  <c r="V81" i="12"/>
  <c r="T81" i="12"/>
  <c r="M87" i="6" l="1"/>
  <c r="AV87" i="6" s="1"/>
  <c r="AH86" i="6"/>
  <c r="AI86" i="6"/>
  <c r="AD86" i="6"/>
  <c r="A88" i="6"/>
  <c r="M88" i="6" s="1"/>
  <c r="AN88" i="6" s="1"/>
  <c r="AX86" i="6"/>
  <c r="AE86" i="6"/>
  <c r="AJ86" i="6"/>
  <c r="BG86" i="6"/>
  <c r="AS86" i="6"/>
  <c r="AN86" i="6"/>
  <c r="AG86" i="6"/>
  <c r="BF86" i="6"/>
  <c r="AO86" i="6"/>
  <c r="AM86" i="6"/>
  <c r="AT86" i="6"/>
  <c r="AB86" i="6"/>
  <c r="AY86" i="6"/>
  <c r="AR86" i="6"/>
  <c r="BC86" i="6"/>
  <c r="BE86" i="6"/>
  <c r="AZ86" i="6"/>
  <c r="BB86" i="6"/>
  <c r="AF86" i="6"/>
  <c r="AP86" i="6"/>
  <c r="AK86" i="6"/>
  <c r="AC86" i="6"/>
  <c r="BD86" i="6"/>
  <c r="AV86" i="6"/>
  <c r="AQ86" i="6"/>
  <c r="AU86" i="6"/>
  <c r="K88" i="12"/>
  <c r="Y84" i="12"/>
  <c r="X84" i="12" s="1"/>
  <c r="W83" i="12"/>
  <c r="X83" i="12"/>
  <c r="G87" i="12"/>
  <c r="X87" i="5"/>
  <c r="AM86" i="5"/>
  <c r="I86" i="12"/>
  <c r="L86" i="5"/>
  <c r="Z86" i="5"/>
  <c r="H88" i="6"/>
  <c r="T88" i="5" s="1"/>
  <c r="J89" i="12"/>
  <c r="L89" i="12"/>
  <c r="N90" i="5"/>
  <c r="H90" i="5"/>
  <c r="D90" i="5"/>
  <c r="B90" i="12" s="1"/>
  <c r="AE90" i="5"/>
  <c r="B90" i="6"/>
  <c r="E90" i="5"/>
  <c r="W90" i="5"/>
  <c r="H90" i="12" s="1"/>
  <c r="B90" i="5"/>
  <c r="F90" i="5"/>
  <c r="A90" i="12"/>
  <c r="J90" i="5"/>
  <c r="C91" i="5"/>
  <c r="K90" i="5"/>
  <c r="G90" i="5"/>
  <c r="AD90" i="5"/>
  <c r="N84" i="12"/>
  <c r="D89" i="6"/>
  <c r="AF87" i="6" l="1"/>
  <c r="AK87" i="6"/>
  <c r="AD87" i="6"/>
  <c r="AH87" i="6"/>
  <c r="AC87" i="6"/>
  <c r="AS87" i="6"/>
  <c r="AT87" i="6"/>
  <c r="AQ87" i="6"/>
  <c r="AE87" i="6"/>
  <c r="AG87" i="6"/>
  <c r="AJ87" i="6"/>
  <c r="AN87" i="6"/>
  <c r="AU87" i="6"/>
  <c r="BB87" i="6"/>
  <c r="BA87" i="6"/>
  <c r="AX87" i="6"/>
  <c r="AP87" i="6"/>
  <c r="BE87" i="6"/>
  <c r="AB87" i="6"/>
  <c r="AY87" i="6"/>
  <c r="AO87" i="6"/>
  <c r="AI87" i="6"/>
  <c r="BF87" i="6"/>
  <c r="AZ87" i="6"/>
  <c r="AR87" i="6"/>
  <c r="BD87" i="6"/>
  <c r="BG87" i="6"/>
  <c r="BC87" i="6"/>
  <c r="AM87" i="6"/>
  <c r="AO88" i="6"/>
  <c r="W84" i="12"/>
  <c r="U84" i="12" s="1"/>
  <c r="BF88" i="6"/>
  <c r="AP88" i="6"/>
  <c r="AV88" i="6"/>
  <c r="BC88" i="6"/>
  <c r="AK88" i="6"/>
  <c r="BG88" i="6"/>
  <c r="AY88" i="6"/>
  <c r="AZ88" i="6"/>
  <c r="BA88" i="6"/>
  <c r="AQ88" i="6"/>
  <c r="AI88" i="6"/>
  <c r="AJ88" i="6"/>
  <c r="AF88" i="6"/>
  <c r="H89" i="6"/>
  <c r="T89" i="5" s="1"/>
  <c r="J91" i="5"/>
  <c r="E91" i="5"/>
  <c r="A91" i="12"/>
  <c r="N91" i="5"/>
  <c r="K91" i="5"/>
  <c r="G91" i="5"/>
  <c r="C92" i="5"/>
  <c r="B91" i="6"/>
  <c r="D91" i="5"/>
  <c r="B91" i="12" s="1"/>
  <c r="F91" i="5"/>
  <c r="W91" i="5"/>
  <c r="H91" i="12" s="1"/>
  <c r="AE91" i="5"/>
  <c r="H91" i="5"/>
  <c r="AD91" i="5"/>
  <c r="B91" i="5"/>
  <c r="L90" i="12"/>
  <c r="J90" i="12"/>
  <c r="C86" i="12"/>
  <c r="AO86" i="12"/>
  <c r="M86" i="12"/>
  <c r="O86" i="12"/>
  <c r="I87" i="12"/>
  <c r="L87" i="5"/>
  <c r="AM87" i="5"/>
  <c r="Z87" i="5"/>
  <c r="D90" i="6"/>
  <c r="K89" i="12"/>
  <c r="A89" i="6"/>
  <c r="M89" i="6" s="1"/>
  <c r="AC88" i="6"/>
  <c r="AX88" i="6"/>
  <c r="AB88" i="6"/>
  <c r="AS88" i="6"/>
  <c r="AE88" i="6"/>
  <c r="BD88" i="6"/>
  <c r="BE88" i="6"/>
  <c r="BB88" i="6"/>
  <c r="AD88" i="6"/>
  <c r="AH88" i="6"/>
  <c r="AG88" i="6"/>
  <c r="AM88" i="6"/>
  <c r="AR88" i="6"/>
  <c r="AU88" i="6"/>
  <c r="AT88" i="6"/>
  <c r="G88" i="12"/>
  <c r="X88" i="5"/>
  <c r="AB86" i="5"/>
  <c r="C86" i="6"/>
  <c r="U83" i="12"/>
  <c r="V83" i="12"/>
  <c r="T83" i="12"/>
  <c r="AF92" i="5"/>
  <c r="V84" i="12" l="1"/>
  <c r="T84" i="12"/>
  <c r="AG92" i="5"/>
  <c r="S92" i="5"/>
  <c r="F92" i="12" s="1"/>
  <c r="AI89" i="6"/>
  <c r="AT89" i="6"/>
  <c r="AZ89" i="6"/>
  <c r="AU89" i="6"/>
  <c r="AJ89" i="6"/>
  <c r="AR89" i="6"/>
  <c r="AF89" i="6"/>
  <c r="AG89" i="6"/>
  <c r="AE89" i="6"/>
  <c r="BC89" i="6"/>
  <c r="AS89" i="6"/>
  <c r="AO89" i="6"/>
  <c r="AY89" i="6"/>
  <c r="AM89" i="6"/>
  <c r="BA89" i="6"/>
  <c r="AD89" i="6"/>
  <c r="BD89" i="6"/>
  <c r="AN89" i="6"/>
  <c r="AX89" i="6"/>
  <c r="AV89" i="6"/>
  <c r="BB89" i="6"/>
  <c r="AC89" i="6"/>
  <c r="AK89" i="6"/>
  <c r="BG89" i="6"/>
  <c r="AH89" i="6"/>
  <c r="AP89" i="6"/>
  <c r="BF89" i="6"/>
  <c r="AB89" i="6"/>
  <c r="AQ89" i="6"/>
  <c r="BE89" i="6"/>
  <c r="A90" i="6"/>
  <c r="AB87" i="5"/>
  <c r="C87" i="12"/>
  <c r="AO87" i="12"/>
  <c r="O87" i="12"/>
  <c r="M87" i="12"/>
  <c r="D91" i="6"/>
  <c r="AM88" i="5"/>
  <c r="I88" i="12"/>
  <c r="L88" i="5"/>
  <c r="Z88" i="5"/>
  <c r="H90" i="6"/>
  <c r="T90" i="5" s="1"/>
  <c r="C87" i="6"/>
  <c r="N86" i="12"/>
  <c r="Y86" i="12"/>
  <c r="K90" i="12"/>
  <c r="J92" i="5"/>
  <c r="H92" i="5"/>
  <c r="R92" i="5"/>
  <c r="B92" i="6"/>
  <c r="K92" i="5"/>
  <c r="B92" i="5"/>
  <c r="C93" i="5" s="1"/>
  <c r="R93" i="5" s="1"/>
  <c r="G92" i="5"/>
  <c r="F92" i="5"/>
  <c r="E92" i="5"/>
  <c r="A92" i="12"/>
  <c r="AE92" i="5"/>
  <c r="D92" i="5"/>
  <c r="B92" i="12" s="1"/>
  <c r="AD92" i="5"/>
  <c r="W92" i="5"/>
  <c r="H92" i="12" s="1"/>
  <c r="N92" i="5"/>
  <c r="J91" i="12"/>
  <c r="L91" i="12"/>
  <c r="G89" i="12"/>
  <c r="X89" i="5"/>
  <c r="AF93" i="5"/>
  <c r="M90" i="6" l="1"/>
  <c r="AT90" i="6" s="1"/>
  <c r="S93" i="5"/>
  <c r="F93" i="12" s="1"/>
  <c r="AG93" i="5"/>
  <c r="N87" i="12"/>
  <c r="K91" i="12"/>
  <c r="D92" i="6"/>
  <c r="E92" i="12"/>
  <c r="F92" i="6"/>
  <c r="G90" i="12"/>
  <c r="X90" i="5"/>
  <c r="AB88" i="5"/>
  <c r="C88" i="6"/>
  <c r="H91" i="6"/>
  <c r="T91" i="5" s="1"/>
  <c r="A91" i="6"/>
  <c r="I89" i="12"/>
  <c r="L89" i="5"/>
  <c r="AM89" i="5"/>
  <c r="Z89" i="5"/>
  <c r="J92" i="12"/>
  <c r="L92" i="12"/>
  <c r="C94" i="5"/>
  <c r="H93" i="5"/>
  <c r="A93" i="12"/>
  <c r="AD93" i="5"/>
  <c r="W93" i="5"/>
  <c r="H93" i="12" s="1"/>
  <c r="B93" i="5"/>
  <c r="E93" i="5"/>
  <c r="B93" i="6"/>
  <c r="N93" i="5"/>
  <c r="F93" i="5"/>
  <c r="G93" i="5"/>
  <c r="AE93" i="5"/>
  <c r="X86" i="12"/>
  <c r="W86" i="12"/>
  <c r="C88" i="12"/>
  <c r="M88" i="12"/>
  <c r="AO88" i="12"/>
  <c r="O88" i="12"/>
  <c r="Y87" i="12"/>
  <c r="BD90" i="6" l="1"/>
  <c r="AU90" i="6"/>
  <c r="AS90" i="6"/>
  <c r="AR90" i="6"/>
  <c r="AZ90" i="6"/>
  <c r="BE90" i="6"/>
  <c r="AG90" i="6"/>
  <c r="AI90" i="6"/>
  <c r="BF90" i="6"/>
  <c r="AO90" i="6"/>
  <c r="BA90" i="6"/>
  <c r="AB90" i="6"/>
  <c r="AV90" i="6"/>
  <c r="BG90" i="6"/>
  <c r="AF90" i="6"/>
  <c r="AP90" i="6"/>
  <c r="BB90" i="6"/>
  <c r="AX90" i="6"/>
  <c r="AE90" i="6"/>
  <c r="AC90" i="6"/>
  <c r="AD90" i="6"/>
  <c r="AQ90" i="6"/>
  <c r="AJ90" i="6"/>
  <c r="AK90" i="6"/>
  <c r="N88" i="12"/>
  <c r="BC90" i="6"/>
  <c r="AN90" i="6"/>
  <c r="AH90" i="6"/>
  <c r="AM90" i="6"/>
  <c r="AY90" i="6"/>
  <c r="A92" i="6"/>
  <c r="M92" i="6" s="1"/>
  <c r="AP92" i="6" s="1"/>
  <c r="M91" i="6"/>
  <c r="BE91" i="6" s="1"/>
  <c r="K92" i="12"/>
  <c r="V86" i="12"/>
  <c r="T86" i="12"/>
  <c r="U86" i="12"/>
  <c r="F93" i="6"/>
  <c r="E93" i="12"/>
  <c r="C89" i="6"/>
  <c r="I90" i="12"/>
  <c r="AM90" i="5"/>
  <c r="L90" i="5"/>
  <c r="Z90" i="5"/>
  <c r="X87" i="12"/>
  <c r="W87" i="12"/>
  <c r="Y88" i="12"/>
  <c r="D93" i="6"/>
  <c r="C95" i="5"/>
  <c r="W94" i="5"/>
  <c r="H94" i="12" s="1"/>
  <c r="AE94" i="5"/>
  <c r="F94" i="5"/>
  <c r="J94" i="5"/>
  <c r="D94" i="5"/>
  <c r="B94" i="12" s="1"/>
  <c r="K94" i="5"/>
  <c r="B94" i="5"/>
  <c r="N94" i="5"/>
  <c r="E94" i="5"/>
  <c r="A94" i="12"/>
  <c r="AD94" i="5"/>
  <c r="H94" i="5"/>
  <c r="B94" i="6"/>
  <c r="G94" i="5"/>
  <c r="AB89" i="5"/>
  <c r="C89" i="12"/>
  <c r="M89" i="12"/>
  <c r="AO89" i="12"/>
  <c r="O89" i="12"/>
  <c r="G91" i="12"/>
  <c r="X91" i="5"/>
  <c r="H92" i="6"/>
  <c r="T92" i="5" s="1"/>
  <c r="G92" i="6"/>
  <c r="N89" i="12" l="1"/>
  <c r="A93" i="6"/>
  <c r="M93" i="6" s="1"/>
  <c r="AS91" i="6"/>
  <c r="AF91" i="6"/>
  <c r="AY91" i="6"/>
  <c r="AN91" i="6"/>
  <c r="AU91" i="6"/>
  <c r="AG91" i="6"/>
  <c r="AT91" i="6"/>
  <c r="AV91" i="6"/>
  <c r="AR91" i="6"/>
  <c r="AD91" i="6"/>
  <c r="BC92" i="6"/>
  <c r="AS92" i="6"/>
  <c r="AQ92" i="6"/>
  <c r="BE92" i="6"/>
  <c r="BF92" i="6"/>
  <c r="BG91" i="6"/>
  <c r="AQ91" i="6"/>
  <c r="AH91" i="6"/>
  <c r="BD91" i="6"/>
  <c r="AJ91" i="6"/>
  <c r="AZ91" i="6"/>
  <c r="BF91" i="6"/>
  <c r="AX91" i="6"/>
  <c r="AM91" i="6"/>
  <c r="AK91" i="6"/>
  <c r="AN92" i="6"/>
  <c r="AT92" i="6"/>
  <c r="AR92" i="6"/>
  <c r="AU92" i="6"/>
  <c r="AO92" i="6"/>
  <c r="BB92" i="6"/>
  <c r="BD92" i="6"/>
  <c r="AM92" i="6"/>
  <c r="BG92" i="6"/>
  <c r="AV92" i="6"/>
  <c r="AX92" i="6"/>
  <c r="AH92" i="6"/>
  <c r="AY92" i="6"/>
  <c r="AZ92" i="6"/>
  <c r="AB92" i="6"/>
  <c r="BA92" i="6"/>
  <c r="AG92" i="6"/>
  <c r="AF92" i="6"/>
  <c r="AD92" i="6"/>
  <c r="AO91" i="6"/>
  <c r="BB91" i="6"/>
  <c r="AB91" i="6"/>
  <c r="AC91" i="6"/>
  <c r="AE91" i="6"/>
  <c r="BC91" i="6"/>
  <c r="AI91" i="6"/>
  <c r="BA91" i="6"/>
  <c r="AP91" i="6"/>
  <c r="G92" i="12"/>
  <c r="X92" i="5"/>
  <c r="D94" i="6"/>
  <c r="H93" i="6"/>
  <c r="T93" i="5" s="1"/>
  <c r="G93" i="6"/>
  <c r="V87" i="12"/>
  <c r="U87" i="12"/>
  <c r="T87" i="12"/>
  <c r="AB90" i="5"/>
  <c r="AK92" i="6"/>
  <c r="AE92" i="6"/>
  <c r="AJ92" i="6"/>
  <c r="AI92" i="6"/>
  <c r="AC92" i="6"/>
  <c r="I91" i="12"/>
  <c r="AM91" i="5"/>
  <c r="L91" i="5"/>
  <c r="Z91" i="5"/>
  <c r="Y89" i="12"/>
  <c r="L94" i="12"/>
  <c r="J94" i="12"/>
  <c r="C96" i="5"/>
  <c r="AD95" i="5"/>
  <c r="H95" i="5"/>
  <c r="A95" i="12"/>
  <c r="D95" i="5"/>
  <c r="B95" i="12" s="1"/>
  <c r="E95" i="5"/>
  <c r="W95" i="5"/>
  <c r="H95" i="12" s="1"/>
  <c r="N95" i="5"/>
  <c r="G95" i="5"/>
  <c r="AE95" i="5"/>
  <c r="K95" i="5"/>
  <c r="F95" i="5"/>
  <c r="J95" i="5"/>
  <c r="B95" i="5"/>
  <c r="B95" i="6"/>
  <c r="X88" i="12"/>
  <c r="W88" i="12"/>
  <c r="C90" i="6"/>
  <c r="C90" i="12"/>
  <c r="AO90" i="12"/>
  <c r="M90" i="12"/>
  <c r="O90" i="12"/>
  <c r="A94" i="6" l="1"/>
  <c r="M94" i="6" s="1"/>
  <c r="AX94" i="6" s="1"/>
  <c r="BD93" i="6"/>
  <c r="AY93" i="6"/>
  <c r="AR93" i="6"/>
  <c r="AJ93" i="6"/>
  <c r="AM93" i="6"/>
  <c r="AT93" i="6"/>
  <c r="AH93" i="6"/>
  <c r="AU93" i="6"/>
  <c r="AC93" i="6"/>
  <c r="AB93" i="6"/>
  <c r="AO93" i="6"/>
  <c r="AN93" i="6"/>
  <c r="AV93" i="6"/>
  <c r="AZ93" i="6"/>
  <c r="N90" i="12"/>
  <c r="AF93" i="6"/>
  <c r="BF93" i="6"/>
  <c r="AE93" i="6"/>
  <c r="AG93" i="6"/>
  <c r="AP93" i="6"/>
  <c r="AX93" i="6"/>
  <c r="Y90" i="12"/>
  <c r="U88" i="12"/>
  <c r="V88" i="12"/>
  <c r="T88" i="12"/>
  <c r="D95" i="6"/>
  <c r="J95" i="12"/>
  <c r="L95" i="12"/>
  <c r="K94" i="12"/>
  <c r="X89" i="12"/>
  <c r="W89" i="12"/>
  <c r="C91" i="6"/>
  <c r="C91" i="12"/>
  <c r="O91" i="12"/>
  <c r="M91" i="12"/>
  <c r="AO91" i="12"/>
  <c r="L92" i="5"/>
  <c r="I92" i="12"/>
  <c r="AM92" i="5"/>
  <c r="Z92" i="5"/>
  <c r="AC92" i="5"/>
  <c r="AE96" i="5"/>
  <c r="G96" i="5"/>
  <c r="W96" i="5"/>
  <c r="H96" i="12" s="1"/>
  <c r="B96" i="5"/>
  <c r="N96" i="5"/>
  <c r="J96" i="5"/>
  <c r="C97" i="5"/>
  <c r="D96" i="5"/>
  <c r="B96" i="12" s="1"/>
  <c r="A96" i="12"/>
  <c r="E96" i="5"/>
  <c r="F96" i="5"/>
  <c r="B96" i="6"/>
  <c r="K96" i="5"/>
  <c r="AD96" i="5"/>
  <c r="H96" i="5"/>
  <c r="AB91" i="5"/>
  <c r="BB93" i="6"/>
  <c r="BA93" i="6"/>
  <c r="AI93" i="6"/>
  <c r="AD93" i="6"/>
  <c r="AK93" i="6"/>
  <c r="AQ93" i="6"/>
  <c r="BG93" i="6"/>
  <c r="BC93" i="6"/>
  <c r="BE93" i="6"/>
  <c r="AS93" i="6"/>
  <c r="G93" i="12"/>
  <c r="H94" i="6"/>
  <c r="T94" i="5" s="1"/>
  <c r="Y91" i="12" l="1"/>
  <c r="W91" i="12" s="1"/>
  <c r="K95" i="12"/>
  <c r="BG94" i="6"/>
  <c r="BB94" i="6"/>
  <c r="AU94" i="6"/>
  <c r="BD94" i="6"/>
  <c r="AC94" i="6"/>
  <c r="BE94" i="6"/>
  <c r="AR94" i="6"/>
  <c r="AD94" i="6"/>
  <c r="AF94" i="6"/>
  <c r="AJ94" i="6"/>
  <c r="AI94" i="6"/>
  <c r="AY94" i="6"/>
  <c r="AH94" i="6"/>
  <c r="BC94" i="6"/>
  <c r="N91" i="12"/>
  <c r="L96" i="12"/>
  <c r="J96" i="12"/>
  <c r="G97" i="5"/>
  <c r="F97" i="5"/>
  <c r="A97" i="12"/>
  <c r="AE97" i="5"/>
  <c r="J97" i="5"/>
  <c r="AD97" i="5"/>
  <c r="N97" i="5"/>
  <c r="D97" i="5"/>
  <c r="B97" i="12" s="1"/>
  <c r="B97" i="6"/>
  <c r="K97" i="5"/>
  <c r="H97" i="5"/>
  <c r="B97" i="5"/>
  <c r="W97" i="5"/>
  <c r="H97" i="12" s="1"/>
  <c r="C98" i="5"/>
  <c r="E97" i="5"/>
  <c r="D96" i="6"/>
  <c r="AA92" i="5"/>
  <c r="AB92" i="5"/>
  <c r="C92" i="12"/>
  <c r="M92" i="12"/>
  <c r="O92" i="12"/>
  <c r="AO92" i="12"/>
  <c r="T89" i="12"/>
  <c r="V89" i="12"/>
  <c r="U89" i="12"/>
  <c r="H95" i="6"/>
  <c r="T95" i="5" s="1"/>
  <c r="AG94" i="6"/>
  <c r="AM94" i="6"/>
  <c r="AZ94" i="6"/>
  <c r="AQ94" i="6"/>
  <c r="AE94" i="6"/>
  <c r="AS94" i="6"/>
  <c r="AN94" i="6"/>
  <c r="BA94" i="6"/>
  <c r="AP94" i="6"/>
  <c r="AB94" i="6"/>
  <c r="AT94" i="6"/>
  <c r="BF94" i="6"/>
  <c r="AK94" i="6"/>
  <c r="AO94" i="6"/>
  <c r="AV94" i="6"/>
  <c r="G94" i="12"/>
  <c r="X94" i="5"/>
  <c r="A95" i="6"/>
  <c r="C92" i="6"/>
  <c r="O92" i="5"/>
  <c r="W90" i="12"/>
  <c r="X90" i="12"/>
  <c r="X91" i="12" l="1"/>
  <c r="A96" i="6"/>
  <c r="M96" i="6" s="1"/>
  <c r="N92" i="12"/>
  <c r="T90" i="12"/>
  <c r="U90" i="12"/>
  <c r="V90" i="12"/>
  <c r="H96" i="6"/>
  <c r="T96" i="5" s="1"/>
  <c r="D97" i="6"/>
  <c r="L97" i="12"/>
  <c r="J97" i="12"/>
  <c r="E92" i="6"/>
  <c r="D92" i="12"/>
  <c r="I94" i="12"/>
  <c r="AM94" i="5"/>
  <c r="L94" i="5"/>
  <c r="Z94" i="5"/>
  <c r="G95" i="12"/>
  <c r="X95" i="5"/>
  <c r="M95" i="6"/>
  <c r="AI95" i="6" s="1"/>
  <c r="T91" i="12"/>
  <c r="U91" i="12"/>
  <c r="V91" i="12"/>
  <c r="Y92" i="12"/>
  <c r="W98" i="5"/>
  <c r="H98" i="12" s="1"/>
  <c r="N98" i="5"/>
  <c r="C99" i="5"/>
  <c r="F98" i="5"/>
  <c r="G98" i="5"/>
  <c r="H98" i="5"/>
  <c r="AE98" i="5"/>
  <c r="B98" i="6"/>
  <c r="D98" i="5"/>
  <c r="B98" i="12" s="1"/>
  <c r="AD98" i="5"/>
  <c r="E98" i="5"/>
  <c r="K98" i="5"/>
  <c r="B98" i="5"/>
  <c r="J98" i="5"/>
  <c r="A98" i="12"/>
  <c r="K96" i="12"/>
  <c r="AF99" i="5"/>
  <c r="A97" i="6" l="1"/>
  <c r="M97" i="6" s="1"/>
  <c r="AT97" i="6" s="1"/>
  <c r="AS96" i="6"/>
  <c r="AP96" i="6"/>
  <c r="AU96" i="6"/>
  <c r="S99" i="5"/>
  <c r="F99" i="12" s="1"/>
  <c r="AG99" i="5"/>
  <c r="AJ96" i="6"/>
  <c r="AD96" i="6"/>
  <c r="BA96" i="6"/>
  <c r="AH96" i="6"/>
  <c r="BB96" i="6"/>
  <c r="AN96" i="6"/>
  <c r="BE96" i="6"/>
  <c r="AF96" i="6"/>
  <c r="AZ96" i="6"/>
  <c r="AO96" i="6"/>
  <c r="AQ96" i="6"/>
  <c r="AY96" i="6"/>
  <c r="BF96" i="6"/>
  <c r="AG96" i="6"/>
  <c r="W99" i="5"/>
  <c r="H99" i="12" s="1"/>
  <c r="B99" i="6"/>
  <c r="A99" i="12"/>
  <c r="H99" i="5"/>
  <c r="AD99" i="5"/>
  <c r="N99" i="5"/>
  <c r="C100" i="5"/>
  <c r="J99" i="5"/>
  <c r="D99" i="5"/>
  <c r="B99" i="12" s="1"/>
  <c r="K99" i="5"/>
  <c r="E99" i="5"/>
  <c r="R99" i="5"/>
  <c r="AE99" i="5"/>
  <c r="F99" i="5"/>
  <c r="B99" i="5"/>
  <c r="G99" i="5"/>
  <c r="C94" i="6"/>
  <c r="C94" i="12"/>
  <c r="O94" i="12"/>
  <c r="M94" i="12"/>
  <c r="AO94" i="12"/>
  <c r="L98" i="12"/>
  <c r="J98" i="12"/>
  <c r="D98" i="6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B94" i="5"/>
  <c r="K97" i="12"/>
  <c r="H97" i="6"/>
  <c r="T97" i="5" s="1"/>
  <c r="BC96" i="6"/>
  <c r="AM96" i="6"/>
  <c r="G96" i="12"/>
  <c r="X96" i="5"/>
  <c r="AR96" i="6"/>
  <c r="AV96" i="6"/>
  <c r="AT96" i="6"/>
  <c r="AC96" i="6"/>
  <c r="AI96" i="6"/>
  <c r="AE96" i="6"/>
  <c r="AX96" i="6"/>
  <c r="BG96" i="6"/>
  <c r="BD96" i="6"/>
  <c r="AK96" i="6"/>
  <c r="AB96" i="6"/>
  <c r="AF100" i="5"/>
  <c r="Y94" i="12" l="1"/>
  <c r="W94" i="12" s="1"/>
  <c r="AC97" i="6"/>
  <c r="BC97" i="6"/>
  <c r="AB97" i="6"/>
  <c r="S100" i="5"/>
  <c r="F100" i="12" s="1"/>
  <c r="AG100" i="5"/>
  <c r="BE97" i="6"/>
  <c r="AV97" i="6"/>
  <c r="AZ97" i="6"/>
  <c r="AX97" i="6"/>
  <c r="AN97" i="6"/>
  <c r="AP97" i="6"/>
  <c r="AQ97" i="6"/>
  <c r="BD97" i="6"/>
  <c r="AE97" i="6"/>
  <c r="AK97" i="6"/>
  <c r="AJ97" i="6"/>
  <c r="AG97" i="6"/>
  <c r="K98" i="12"/>
  <c r="AM96" i="5"/>
  <c r="L96" i="5"/>
  <c r="I96" i="12"/>
  <c r="Z96" i="5"/>
  <c r="C95" i="12"/>
  <c r="M95" i="12"/>
  <c r="O95" i="12"/>
  <c r="AO95" i="12"/>
  <c r="E100" i="5"/>
  <c r="W100" i="5"/>
  <c r="H100" i="12" s="1"/>
  <c r="D100" i="5"/>
  <c r="B100" i="12" s="1"/>
  <c r="B100" i="6"/>
  <c r="B100" i="5"/>
  <c r="C101" i="5" s="1"/>
  <c r="R101" i="5" s="1"/>
  <c r="N100" i="5"/>
  <c r="H100" i="5"/>
  <c r="AD100" i="5"/>
  <c r="J100" i="5"/>
  <c r="A100" i="12"/>
  <c r="F100" i="5"/>
  <c r="AE100" i="5"/>
  <c r="R100" i="5"/>
  <c r="K100" i="5"/>
  <c r="G100" i="5"/>
  <c r="L99" i="12"/>
  <c r="J99" i="12"/>
  <c r="AS97" i="6"/>
  <c r="AR97" i="6"/>
  <c r="AI97" i="6"/>
  <c r="AM97" i="6"/>
  <c r="AO97" i="6"/>
  <c r="BF97" i="6"/>
  <c r="AF97" i="6"/>
  <c r="BB97" i="6"/>
  <c r="BA97" i="6"/>
  <c r="AY97" i="6"/>
  <c r="AU97" i="6"/>
  <c r="BG97" i="6"/>
  <c r="AD97" i="6"/>
  <c r="AH97" i="6"/>
  <c r="G97" i="12"/>
  <c r="X97" i="5"/>
  <c r="AB95" i="5"/>
  <c r="C95" i="6"/>
  <c r="T92" i="12"/>
  <c r="V92" i="12"/>
  <c r="U92" i="12"/>
  <c r="H98" i="6"/>
  <c r="T98" i="5" s="1"/>
  <c r="N94" i="12"/>
  <c r="F99" i="6"/>
  <c r="E99" i="12"/>
  <c r="D99" i="6"/>
  <c r="A98" i="6"/>
  <c r="M98" i="6" s="1"/>
  <c r="AF101" i="5"/>
  <c r="X94" i="12" l="1"/>
  <c r="AG101" i="5"/>
  <c r="S101" i="5"/>
  <c r="F101" i="12" s="1"/>
  <c r="K99" i="12"/>
  <c r="Y95" i="12"/>
  <c r="X95" i="12" s="1"/>
  <c r="BC98" i="6"/>
  <c r="BF98" i="6"/>
  <c r="BA98" i="6"/>
  <c r="AU98" i="6"/>
  <c r="AT98" i="6"/>
  <c r="AS98" i="6"/>
  <c r="AY98" i="6"/>
  <c r="AV98" i="6"/>
  <c r="BD98" i="6"/>
  <c r="AO98" i="6"/>
  <c r="BG98" i="6"/>
  <c r="BB98" i="6"/>
  <c r="AH98" i="6"/>
  <c r="AP98" i="6"/>
  <c r="AJ98" i="6"/>
  <c r="AR98" i="6"/>
  <c r="AQ98" i="6"/>
  <c r="AM98" i="6"/>
  <c r="AG98" i="6"/>
  <c r="AZ98" i="6"/>
  <c r="BE98" i="6"/>
  <c r="AD98" i="6"/>
  <c r="AN98" i="6"/>
  <c r="AX98" i="6"/>
  <c r="U94" i="12"/>
  <c r="V94" i="12"/>
  <c r="T94" i="12"/>
  <c r="G98" i="12"/>
  <c r="X98" i="5"/>
  <c r="AM97" i="5"/>
  <c r="L97" i="5"/>
  <c r="I97" i="12"/>
  <c r="Z97" i="5"/>
  <c r="L100" i="12"/>
  <c r="J100" i="12"/>
  <c r="AB96" i="5"/>
  <c r="C96" i="6"/>
  <c r="A99" i="6"/>
  <c r="M99" i="6" s="1"/>
  <c r="AM99" i="6" s="1"/>
  <c r="H99" i="6"/>
  <c r="T99" i="5" s="1"/>
  <c r="G99" i="6"/>
  <c r="AF98" i="6"/>
  <c r="AB98" i="6"/>
  <c r="AI98" i="6"/>
  <c r="AK98" i="6"/>
  <c r="AC98" i="6"/>
  <c r="AE98" i="6"/>
  <c r="E100" i="12"/>
  <c r="F100" i="6"/>
  <c r="E101" i="5"/>
  <c r="AE101" i="5"/>
  <c r="W101" i="5"/>
  <c r="H101" i="12" s="1"/>
  <c r="N101" i="5"/>
  <c r="C102" i="5"/>
  <c r="G101" i="5"/>
  <c r="AD101" i="5"/>
  <c r="B101" i="6"/>
  <c r="B101" i="5"/>
  <c r="A101" i="12"/>
  <c r="F101" i="5"/>
  <c r="H101" i="5"/>
  <c r="D100" i="6"/>
  <c r="N95" i="12"/>
  <c r="C96" i="12"/>
  <c r="AO96" i="12"/>
  <c r="M96" i="12"/>
  <c r="O96" i="12"/>
  <c r="W95" i="12" l="1"/>
  <c r="V95" i="12" s="1"/>
  <c r="A100" i="6"/>
  <c r="M100" i="6" s="1"/>
  <c r="AS100" i="6" s="1"/>
  <c r="BA99" i="6"/>
  <c r="AX99" i="6"/>
  <c r="AY99" i="6"/>
  <c r="BC99" i="6"/>
  <c r="BG99" i="6"/>
  <c r="AS99" i="6"/>
  <c r="AI99" i="6"/>
  <c r="BF99" i="6"/>
  <c r="AQ99" i="6"/>
  <c r="AZ99" i="6"/>
  <c r="BE99" i="6"/>
  <c r="BB99" i="6"/>
  <c r="N96" i="12"/>
  <c r="AD99" i="6"/>
  <c r="AG99" i="6"/>
  <c r="AC99" i="6"/>
  <c r="AN99" i="6"/>
  <c r="AP99" i="6"/>
  <c r="AO99" i="6"/>
  <c r="AU99" i="6"/>
  <c r="AK99" i="6"/>
  <c r="BD99" i="6"/>
  <c r="AT99" i="6"/>
  <c r="AR99" i="6"/>
  <c r="AV99" i="6"/>
  <c r="Y96" i="12"/>
  <c r="E101" i="12"/>
  <c r="F101" i="6"/>
  <c r="D101" i="6"/>
  <c r="G99" i="12"/>
  <c r="X99" i="5"/>
  <c r="K100" i="12"/>
  <c r="C97" i="12"/>
  <c r="AO97" i="12"/>
  <c r="M97" i="12"/>
  <c r="O97" i="12"/>
  <c r="G100" i="6"/>
  <c r="H100" i="6"/>
  <c r="T100" i="5" s="1"/>
  <c r="W102" i="5"/>
  <c r="H102" i="12" s="1"/>
  <c r="A102" i="12"/>
  <c r="E102" i="5"/>
  <c r="B102" i="6"/>
  <c r="D102" i="5"/>
  <c r="B102" i="12" s="1"/>
  <c r="J102" i="5"/>
  <c r="K102" i="5"/>
  <c r="N102" i="5"/>
  <c r="C103" i="5"/>
  <c r="H102" i="5"/>
  <c r="AE102" i="5"/>
  <c r="B102" i="5"/>
  <c r="AD102" i="5"/>
  <c r="G102" i="5"/>
  <c r="F102" i="5"/>
  <c r="AH99" i="6"/>
  <c r="AF99" i="6"/>
  <c r="AJ99" i="6"/>
  <c r="AE99" i="6"/>
  <c r="AB99" i="6"/>
  <c r="AB97" i="5"/>
  <c r="C97" i="6"/>
  <c r="L98" i="5"/>
  <c r="I98" i="12"/>
  <c r="AM98" i="5"/>
  <c r="Z98" i="5"/>
  <c r="T95" i="12" l="1"/>
  <c r="A101" i="6"/>
  <c r="U95" i="12"/>
  <c r="N97" i="12"/>
  <c r="AU100" i="6"/>
  <c r="AT100" i="6"/>
  <c r="AQ100" i="6"/>
  <c r="AB100" i="6"/>
  <c r="AF100" i="6"/>
  <c r="AI100" i="6"/>
  <c r="BB100" i="6"/>
  <c r="BG100" i="6"/>
  <c r="AD100" i="6"/>
  <c r="AX100" i="6"/>
  <c r="AE100" i="6"/>
  <c r="BA100" i="6"/>
  <c r="AZ100" i="6"/>
  <c r="BF100" i="6"/>
  <c r="AY100" i="6"/>
  <c r="AB98" i="5"/>
  <c r="C98" i="12"/>
  <c r="AO98" i="12"/>
  <c r="O98" i="12"/>
  <c r="M98" i="12"/>
  <c r="D102" i="6"/>
  <c r="L102" i="12"/>
  <c r="J102" i="12"/>
  <c r="G100" i="12"/>
  <c r="X100" i="5"/>
  <c r="Y97" i="12"/>
  <c r="C98" i="6"/>
  <c r="B103" i="5"/>
  <c r="AE103" i="5"/>
  <c r="B103" i="6"/>
  <c r="N103" i="5"/>
  <c r="J103" i="5"/>
  <c r="A103" i="12"/>
  <c r="G103" i="5"/>
  <c r="K103" i="5"/>
  <c r="D103" i="5"/>
  <c r="B103" i="12" s="1"/>
  <c r="F103" i="5"/>
  <c r="H103" i="5"/>
  <c r="W103" i="5"/>
  <c r="H103" i="12" s="1"/>
  <c r="AD103" i="5"/>
  <c r="C104" i="5"/>
  <c r="E103" i="5"/>
  <c r="BE100" i="6"/>
  <c r="AV100" i="6"/>
  <c r="AM100" i="6"/>
  <c r="AJ100" i="6"/>
  <c r="BC100" i="6"/>
  <c r="AO100" i="6"/>
  <c r="BD100" i="6"/>
  <c r="AG100" i="6"/>
  <c r="AC100" i="6"/>
  <c r="AR100" i="6"/>
  <c r="AP100" i="6"/>
  <c r="AK100" i="6"/>
  <c r="AN100" i="6"/>
  <c r="AH100" i="6"/>
  <c r="AM99" i="5"/>
  <c r="L99" i="5"/>
  <c r="I99" i="12"/>
  <c r="Z99" i="5"/>
  <c r="AC99" i="5"/>
  <c r="G101" i="6"/>
  <c r="H101" i="6"/>
  <c r="T101" i="5" s="1"/>
  <c r="M101" i="6"/>
  <c r="BC101" i="6" s="1"/>
  <c r="W96" i="12"/>
  <c r="X96" i="12"/>
  <c r="BG101" i="6" l="1"/>
  <c r="BE101" i="6"/>
  <c r="AZ101" i="6"/>
  <c r="AY101" i="6"/>
  <c r="AR101" i="6"/>
  <c r="AM101" i="6"/>
  <c r="AF101" i="6"/>
  <c r="AX101" i="6"/>
  <c r="AS101" i="6"/>
  <c r="AO101" i="6"/>
  <c r="Y98" i="12"/>
  <c r="W98" i="12" s="1"/>
  <c r="AE101" i="6"/>
  <c r="AB101" i="6"/>
  <c r="AI101" i="6"/>
  <c r="AH101" i="6"/>
  <c r="AU101" i="6"/>
  <c r="BD101" i="6"/>
  <c r="AG101" i="6"/>
  <c r="AT101" i="6"/>
  <c r="AP101" i="6"/>
  <c r="V96" i="12"/>
  <c r="T96" i="12"/>
  <c r="U96" i="12"/>
  <c r="AB99" i="5"/>
  <c r="AA99" i="5"/>
  <c r="C99" i="12"/>
  <c r="AO99" i="12"/>
  <c r="O99" i="12"/>
  <c r="M99" i="12"/>
  <c r="I100" i="12"/>
  <c r="L100" i="5"/>
  <c r="AM100" i="5"/>
  <c r="Z100" i="5"/>
  <c r="AC100" i="5"/>
  <c r="K102" i="12"/>
  <c r="H102" i="6"/>
  <c r="T102" i="5" s="1"/>
  <c r="AK101" i="6"/>
  <c r="BF101" i="6"/>
  <c r="BB101" i="6"/>
  <c r="G101" i="12"/>
  <c r="AD101" i="6"/>
  <c r="AC101" i="6"/>
  <c r="AJ101" i="6"/>
  <c r="AQ101" i="6"/>
  <c r="BA101" i="6"/>
  <c r="AN101" i="6"/>
  <c r="AV101" i="6"/>
  <c r="C99" i="6"/>
  <c r="O99" i="5"/>
  <c r="AE104" i="5"/>
  <c r="K104" i="5"/>
  <c r="W104" i="5"/>
  <c r="H104" i="12" s="1"/>
  <c r="G104" i="5"/>
  <c r="C105" i="5"/>
  <c r="F104" i="5"/>
  <c r="AD104" i="5"/>
  <c r="N104" i="5"/>
  <c r="A104" i="12"/>
  <c r="B104" i="5"/>
  <c r="E104" i="5"/>
  <c r="H104" i="5"/>
  <c r="D104" i="5"/>
  <c r="B104" i="12" s="1"/>
  <c r="B104" i="6"/>
  <c r="J104" i="5"/>
  <c r="L103" i="12"/>
  <c r="J103" i="12"/>
  <c r="D103" i="6"/>
  <c r="X97" i="12"/>
  <c r="W97" i="12"/>
  <c r="A102" i="6"/>
  <c r="M102" i="6" s="1"/>
  <c r="N98" i="12"/>
  <c r="X98" i="12" l="1"/>
  <c r="AS102" i="6"/>
  <c r="BA102" i="6"/>
  <c r="BG102" i="6"/>
  <c r="K103" i="12"/>
  <c r="AK102" i="6"/>
  <c r="N99" i="12"/>
  <c r="U97" i="12"/>
  <c r="T97" i="12"/>
  <c r="V97" i="12"/>
  <c r="H103" i="6"/>
  <c r="T103" i="5" s="1"/>
  <c r="J104" i="12"/>
  <c r="L104" i="12"/>
  <c r="T98" i="12"/>
  <c r="V98" i="12"/>
  <c r="U98" i="12"/>
  <c r="AG102" i="6"/>
  <c r="AT102" i="6"/>
  <c r="BF102" i="6"/>
  <c r="G102" i="12"/>
  <c r="X102" i="5"/>
  <c r="AH102" i="6"/>
  <c r="AX102" i="6"/>
  <c r="BD102" i="6"/>
  <c r="AO102" i="6"/>
  <c r="BB102" i="6"/>
  <c r="BE102" i="6"/>
  <c r="AV102" i="6"/>
  <c r="AN102" i="6"/>
  <c r="C100" i="6"/>
  <c r="O100" i="5"/>
  <c r="A103" i="6"/>
  <c r="M103" i="6" s="1"/>
  <c r="D104" i="6"/>
  <c r="K105" i="5"/>
  <c r="J105" i="5"/>
  <c r="C106" i="5"/>
  <c r="F105" i="5"/>
  <c r="A105" i="12"/>
  <c r="D105" i="5"/>
  <c r="B105" i="12" s="1"/>
  <c r="AE105" i="5"/>
  <c r="N105" i="5"/>
  <c r="E105" i="5"/>
  <c r="W105" i="5"/>
  <c r="H105" i="12" s="1"/>
  <c r="B105" i="6"/>
  <c r="G105" i="5"/>
  <c r="AD105" i="5"/>
  <c r="H105" i="5"/>
  <c r="B105" i="5"/>
  <c r="E99" i="6"/>
  <c r="D99" i="12"/>
  <c r="AB102" i="6"/>
  <c r="AZ102" i="6"/>
  <c r="AJ102" i="6"/>
  <c r="AE102" i="6"/>
  <c r="AM102" i="6"/>
  <c r="AP102" i="6"/>
  <c r="BC102" i="6"/>
  <c r="AQ102" i="6"/>
  <c r="AC102" i="6"/>
  <c r="AI102" i="6"/>
  <c r="AY102" i="6"/>
  <c r="AR102" i="6"/>
  <c r="AF102" i="6"/>
  <c r="AD102" i="6"/>
  <c r="AU102" i="6"/>
  <c r="AB100" i="5"/>
  <c r="AA100" i="5"/>
  <c r="C100" i="12"/>
  <c r="M100" i="12"/>
  <c r="AO100" i="12"/>
  <c r="O100" i="12"/>
  <c r="Y99" i="12"/>
  <c r="AF106" i="5"/>
  <c r="N100" i="12" l="1"/>
  <c r="Y100" i="12"/>
  <c r="X100" i="12" s="1"/>
  <c r="S106" i="5"/>
  <c r="F106" i="12" s="1"/>
  <c r="AG106" i="5"/>
  <c r="A104" i="6"/>
  <c r="M104" i="6" s="1"/>
  <c r="AO103" i="6"/>
  <c r="BC103" i="6"/>
  <c r="BG103" i="6"/>
  <c r="AU103" i="6"/>
  <c r="BA103" i="6"/>
  <c r="AV103" i="6"/>
  <c r="BE103" i="6"/>
  <c r="BB103" i="6"/>
  <c r="AX103" i="6"/>
  <c r="AR103" i="6"/>
  <c r="AP103" i="6"/>
  <c r="AQ103" i="6"/>
  <c r="AS103" i="6"/>
  <c r="BD103" i="6"/>
  <c r="AE103" i="6"/>
  <c r="AM103" i="6"/>
  <c r="AY103" i="6"/>
  <c r="BF103" i="6"/>
  <c r="AB103" i="6"/>
  <c r="AD103" i="6"/>
  <c r="AI103" i="6"/>
  <c r="AT103" i="6"/>
  <c r="AZ103" i="6"/>
  <c r="AN103" i="6"/>
  <c r="X99" i="12"/>
  <c r="W99" i="12"/>
  <c r="D105" i="6"/>
  <c r="E100" i="6"/>
  <c r="D100" i="12"/>
  <c r="L102" i="5"/>
  <c r="AM102" i="5"/>
  <c r="I102" i="12"/>
  <c r="Z102" i="5"/>
  <c r="G103" i="12"/>
  <c r="X103" i="5"/>
  <c r="L105" i="12"/>
  <c r="J105" i="12"/>
  <c r="D106" i="5"/>
  <c r="B106" i="12" s="1"/>
  <c r="W106" i="5"/>
  <c r="H106" i="12" s="1"/>
  <c r="E106" i="5"/>
  <c r="A106" i="12"/>
  <c r="G106" i="5"/>
  <c r="B106" i="6"/>
  <c r="J106" i="5"/>
  <c r="K106" i="5"/>
  <c r="N106" i="5"/>
  <c r="H106" i="5"/>
  <c r="AD106" i="5"/>
  <c r="C107" i="5"/>
  <c r="AE106" i="5"/>
  <c r="R106" i="5"/>
  <c r="F106" i="5"/>
  <c r="B106" i="5"/>
  <c r="H104" i="6"/>
  <c r="T104" i="5" s="1"/>
  <c r="K104" i="12"/>
  <c r="AJ103" i="6"/>
  <c r="AF103" i="6"/>
  <c r="AK103" i="6"/>
  <c r="AG103" i="6"/>
  <c r="AC103" i="6"/>
  <c r="AH103" i="6"/>
  <c r="AF107" i="5"/>
  <c r="W100" i="12" l="1"/>
  <c r="U100" i="12" s="1"/>
  <c r="AG107" i="5"/>
  <c r="S107" i="5"/>
  <c r="F107" i="12" s="1"/>
  <c r="AZ104" i="6"/>
  <c r="AY104" i="6"/>
  <c r="AM104" i="6"/>
  <c r="AF104" i="6"/>
  <c r="BG104" i="6"/>
  <c r="AI104" i="6"/>
  <c r="AR104" i="6"/>
  <c r="AT104" i="6"/>
  <c r="AS104" i="6"/>
  <c r="AO104" i="6"/>
  <c r="BC104" i="6"/>
  <c r="BA104" i="6"/>
  <c r="AN104" i="6"/>
  <c r="G104" i="12"/>
  <c r="X104" i="5"/>
  <c r="AK104" i="6"/>
  <c r="AH104" i="6"/>
  <c r="AJ104" i="6"/>
  <c r="E106" i="12"/>
  <c r="F106" i="6"/>
  <c r="J106" i="12"/>
  <c r="L106" i="12"/>
  <c r="K105" i="12"/>
  <c r="I103" i="12"/>
  <c r="L103" i="5"/>
  <c r="AM103" i="5"/>
  <c r="Z103" i="5"/>
  <c r="AB102" i="5"/>
  <c r="H105" i="6"/>
  <c r="T105" i="5" s="1"/>
  <c r="V99" i="12"/>
  <c r="U99" i="12"/>
  <c r="T99" i="12"/>
  <c r="AU104" i="6"/>
  <c r="AE104" i="6"/>
  <c r="AG104" i="6"/>
  <c r="BF104" i="6"/>
  <c r="AQ104" i="6"/>
  <c r="AB104" i="6"/>
  <c r="BE104" i="6"/>
  <c r="BD104" i="6"/>
  <c r="AX104" i="6"/>
  <c r="AV104" i="6"/>
  <c r="AC104" i="6"/>
  <c r="AD104" i="6"/>
  <c r="AP104" i="6"/>
  <c r="BB104" i="6"/>
  <c r="G107" i="5"/>
  <c r="H107" i="5"/>
  <c r="A107" i="12"/>
  <c r="B107" i="5"/>
  <c r="D107" i="5"/>
  <c r="B107" i="12" s="1"/>
  <c r="J107" i="5"/>
  <c r="E107" i="5"/>
  <c r="B107" i="6"/>
  <c r="R107" i="5"/>
  <c r="N107" i="5"/>
  <c r="K107" i="5"/>
  <c r="AD107" i="5"/>
  <c r="AE107" i="5"/>
  <c r="W107" i="5"/>
  <c r="H107" i="12" s="1"/>
  <c r="C108" i="5"/>
  <c r="F107" i="5"/>
  <c r="D106" i="6"/>
  <c r="A105" i="6"/>
  <c r="C102" i="12"/>
  <c r="O102" i="12"/>
  <c r="AO102" i="12"/>
  <c r="M102" i="12"/>
  <c r="C102" i="6"/>
  <c r="AF108" i="5"/>
  <c r="T100" i="12" l="1"/>
  <c r="V100" i="12"/>
  <c r="AG108" i="5"/>
  <c r="S108" i="5"/>
  <c r="F108" i="12" s="1"/>
  <c r="A106" i="6"/>
  <c r="M106" i="6" s="1"/>
  <c r="AU106" i="6" s="1"/>
  <c r="Y102" i="12"/>
  <c r="W102" i="12" s="1"/>
  <c r="H106" i="6"/>
  <c r="T106" i="5" s="1"/>
  <c r="G106" i="6"/>
  <c r="D107" i="6"/>
  <c r="G105" i="12"/>
  <c r="X105" i="5"/>
  <c r="C103" i="12"/>
  <c r="M103" i="12"/>
  <c r="AO103" i="12"/>
  <c r="O103" i="12"/>
  <c r="N102" i="12"/>
  <c r="AE108" i="5"/>
  <c r="D108" i="5"/>
  <c r="B108" i="12" s="1"/>
  <c r="G108" i="5"/>
  <c r="C109" i="5"/>
  <c r="H108" i="5"/>
  <c r="K108" i="5"/>
  <c r="AD108" i="5"/>
  <c r="F108" i="5"/>
  <c r="J108" i="5"/>
  <c r="R108" i="5"/>
  <c r="W108" i="5"/>
  <c r="H108" i="12" s="1"/>
  <c r="B108" i="5"/>
  <c r="E108" i="5"/>
  <c r="N108" i="5"/>
  <c r="A108" i="12"/>
  <c r="B108" i="6"/>
  <c r="E107" i="12"/>
  <c r="F107" i="6"/>
  <c r="L107" i="12"/>
  <c r="J107" i="12"/>
  <c r="M105" i="6"/>
  <c r="AF105" i="6" s="1"/>
  <c r="AB103" i="5"/>
  <c r="C103" i="6"/>
  <c r="K106" i="12"/>
  <c r="L104" i="5"/>
  <c r="AM104" i="5"/>
  <c r="I104" i="12"/>
  <c r="Z104" i="5"/>
  <c r="AF109" i="5"/>
  <c r="N103" i="12" l="1"/>
  <c r="A107" i="6"/>
  <c r="AQ106" i="6"/>
  <c r="X102" i="12"/>
  <c r="AG109" i="5"/>
  <c r="S109" i="5"/>
  <c r="F109" i="12" s="1"/>
  <c r="AI106" i="6"/>
  <c r="AG106" i="6"/>
  <c r="AP106" i="6"/>
  <c r="AE105" i="6"/>
  <c r="Y103" i="12"/>
  <c r="W103" i="12" s="1"/>
  <c r="D108" i="6"/>
  <c r="W109" i="5"/>
  <c r="H109" i="12" s="1"/>
  <c r="B109" i="5"/>
  <c r="F109" i="5"/>
  <c r="K109" i="5"/>
  <c r="A109" i="12"/>
  <c r="G109" i="5"/>
  <c r="AD109" i="5"/>
  <c r="B109" i="6"/>
  <c r="E109" i="5"/>
  <c r="C110" i="5"/>
  <c r="AE109" i="5"/>
  <c r="J109" i="5"/>
  <c r="N109" i="5"/>
  <c r="D109" i="5"/>
  <c r="B109" i="12" s="1"/>
  <c r="H109" i="5"/>
  <c r="R109" i="5"/>
  <c r="AD106" i="6"/>
  <c r="AC106" i="6"/>
  <c r="BE106" i="6"/>
  <c r="BB106" i="6"/>
  <c r="AE106" i="6"/>
  <c r="AK106" i="6"/>
  <c r="AB106" i="6"/>
  <c r="BG106" i="6"/>
  <c r="BF106" i="6"/>
  <c r="AZ106" i="6"/>
  <c r="AM106" i="6"/>
  <c r="AO106" i="6"/>
  <c r="AB104" i="5"/>
  <c r="C104" i="12"/>
  <c r="O104" i="12"/>
  <c r="M104" i="12"/>
  <c r="AO104" i="12"/>
  <c r="C104" i="6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K107" i="12"/>
  <c r="L108" i="12"/>
  <c r="J108" i="12"/>
  <c r="E108" i="12"/>
  <c r="F108" i="6"/>
  <c r="AM105" i="5"/>
  <c r="I105" i="12"/>
  <c r="L105" i="5"/>
  <c r="Z105" i="5"/>
  <c r="H107" i="6"/>
  <c r="T107" i="5" s="1"/>
  <c r="G107" i="6"/>
  <c r="AV106" i="6"/>
  <c r="BD106" i="6"/>
  <c r="AS106" i="6"/>
  <c r="AJ106" i="6"/>
  <c r="BA106" i="6"/>
  <c r="AR106" i="6"/>
  <c r="BC106" i="6"/>
  <c r="AH106" i="6"/>
  <c r="AF106" i="6"/>
  <c r="AT106" i="6"/>
  <c r="AX106" i="6"/>
  <c r="AY106" i="6"/>
  <c r="AN106" i="6"/>
  <c r="G106" i="12"/>
  <c r="X106" i="5"/>
  <c r="U102" i="12"/>
  <c r="T102" i="12"/>
  <c r="V102" i="12"/>
  <c r="AF110" i="5"/>
  <c r="Y104" i="12" l="1"/>
  <c r="W104" i="12" s="1"/>
  <c r="X103" i="12"/>
  <c r="M107" i="6"/>
  <c r="AT107" i="6" s="1"/>
  <c r="S110" i="5"/>
  <c r="F110" i="12" s="1"/>
  <c r="AG110" i="5"/>
  <c r="K108" i="12"/>
  <c r="N104" i="12"/>
  <c r="C105" i="12"/>
  <c r="O105" i="12"/>
  <c r="M105" i="12"/>
  <c r="AO105" i="12"/>
  <c r="E109" i="12"/>
  <c r="F109" i="6"/>
  <c r="L109" i="12"/>
  <c r="J109" i="12"/>
  <c r="H108" i="6"/>
  <c r="T108" i="5" s="1"/>
  <c r="G108" i="6"/>
  <c r="AM106" i="5"/>
  <c r="L106" i="5"/>
  <c r="I106" i="12"/>
  <c r="Z106" i="5"/>
  <c r="AC106" i="5"/>
  <c r="G107" i="12"/>
  <c r="X107" i="5"/>
  <c r="AB105" i="5"/>
  <c r="C105" i="6"/>
  <c r="V103" i="12"/>
  <c r="U103" i="12"/>
  <c r="T103" i="12"/>
  <c r="D109" i="6"/>
  <c r="N110" i="5"/>
  <c r="K110" i="5"/>
  <c r="AE110" i="5"/>
  <c r="B110" i="5"/>
  <c r="W110" i="5"/>
  <c r="H110" i="12" s="1"/>
  <c r="R110" i="5"/>
  <c r="E110" i="5"/>
  <c r="AD110" i="5"/>
  <c r="A110" i="12"/>
  <c r="H110" i="5"/>
  <c r="D110" i="5"/>
  <c r="B110" i="12" s="1"/>
  <c r="F110" i="5"/>
  <c r="G110" i="5"/>
  <c r="J110" i="5"/>
  <c r="C111" i="5"/>
  <c r="B110" i="6"/>
  <c r="A108" i="6"/>
  <c r="AF111" i="5"/>
  <c r="X104" i="12" l="1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X105" i="12" s="1"/>
  <c r="S111" i="5"/>
  <c r="F111" i="12" s="1"/>
  <c r="AG111" i="5"/>
  <c r="A109" i="6"/>
  <c r="M108" i="6"/>
  <c r="BF108" i="6" s="1"/>
  <c r="N105" i="12"/>
  <c r="G111" i="5"/>
  <c r="K111" i="5"/>
  <c r="E111" i="5"/>
  <c r="A111" i="12"/>
  <c r="B111" i="5"/>
  <c r="B111" i="6"/>
  <c r="H111" i="5"/>
  <c r="W111" i="5"/>
  <c r="H111" i="12" s="1"/>
  <c r="AD111" i="5"/>
  <c r="J111" i="5"/>
  <c r="R111" i="5"/>
  <c r="D111" i="5"/>
  <c r="B111" i="12" s="1"/>
  <c r="C112" i="5"/>
  <c r="F111" i="5"/>
  <c r="AE111" i="5"/>
  <c r="N111" i="5"/>
  <c r="J110" i="12"/>
  <c r="L110" i="12"/>
  <c r="D110" i="6"/>
  <c r="H109" i="6"/>
  <c r="T109" i="5" s="1"/>
  <c r="G109" i="6"/>
  <c r="AM107" i="5"/>
  <c r="L107" i="5"/>
  <c r="I107" i="12"/>
  <c r="Z107" i="5"/>
  <c r="AC107" i="5"/>
  <c r="AA106" i="5"/>
  <c r="AB106" i="5"/>
  <c r="C106" i="12"/>
  <c r="M106" i="12"/>
  <c r="O106" i="12"/>
  <c r="AO106" i="12"/>
  <c r="F110" i="6"/>
  <c r="E110" i="12"/>
  <c r="C106" i="6"/>
  <c r="O106" i="5"/>
  <c r="G108" i="12"/>
  <c r="X108" i="5"/>
  <c r="K109" i="12"/>
  <c r="V104" i="12"/>
  <c r="T104" i="12"/>
  <c r="U104" i="12"/>
  <c r="AF112" i="5"/>
  <c r="W105" i="12" l="1"/>
  <c r="V105" i="12" s="1"/>
  <c r="M109" i="6"/>
  <c r="AV109" i="6" s="1"/>
  <c r="AH108" i="6"/>
  <c r="AI108" i="6"/>
  <c r="AO108" i="6"/>
  <c r="AV108" i="6"/>
  <c r="A110" i="6"/>
  <c r="M110" i="6" s="1"/>
  <c r="AY110" i="6" s="1"/>
  <c r="BB108" i="6"/>
  <c r="AS108" i="6"/>
  <c r="AG112" i="5"/>
  <c r="S112" i="5"/>
  <c r="F112" i="12" s="1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K110" i="12"/>
  <c r="E106" i="6"/>
  <c r="D106" i="12"/>
  <c r="T105" i="12"/>
  <c r="AB107" i="5"/>
  <c r="AA107" i="5"/>
  <c r="C107" i="12"/>
  <c r="AO107" i="12"/>
  <c r="M107" i="12"/>
  <c r="O107" i="12"/>
  <c r="G109" i="12"/>
  <c r="X109" i="5"/>
  <c r="H110" i="6"/>
  <c r="T110" i="5" s="1"/>
  <c r="G110" i="6"/>
  <c r="F112" i="5"/>
  <c r="C113" i="5"/>
  <c r="G112" i="5"/>
  <c r="K112" i="5"/>
  <c r="R112" i="5"/>
  <c r="AD112" i="5"/>
  <c r="B112" i="5"/>
  <c r="E112" i="5"/>
  <c r="N112" i="5"/>
  <c r="B112" i="6"/>
  <c r="H112" i="5"/>
  <c r="AE112" i="5"/>
  <c r="J112" i="5"/>
  <c r="W112" i="5"/>
  <c r="H112" i="12" s="1"/>
  <c r="D112" i="5"/>
  <c r="B112" i="12" s="1"/>
  <c r="A112" i="12"/>
  <c r="L111" i="12"/>
  <c r="J111" i="12"/>
  <c r="I108" i="12"/>
  <c r="L108" i="5"/>
  <c r="AM108" i="5"/>
  <c r="Z108" i="5"/>
  <c r="AC108" i="5"/>
  <c r="Y106" i="12"/>
  <c r="C107" i="6"/>
  <c r="O107" i="5"/>
  <c r="D111" i="6"/>
  <c r="E111" i="12"/>
  <c r="F111" i="6"/>
  <c r="AF113" i="5"/>
  <c r="U105" i="12" l="1"/>
  <c r="BB109" i="6"/>
  <c r="BG109" i="6"/>
  <c r="AF109" i="6"/>
  <c r="AC109" i="6"/>
  <c r="BE109" i="6"/>
  <c r="AN109" i="6"/>
  <c r="AK109" i="6"/>
  <c r="AM109" i="6"/>
  <c r="AR109" i="6"/>
  <c r="AQ109" i="6"/>
  <c r="AB109" i="6"/>
  <c r="AH109" i="6"/>
  <c r="AU109" i="6"/>
  <c r="AY109" i="6"/>
  <c r="AE109" i="6"/>
  <c r="AJ109" i="6"/>
  <c r="AT109" i="6"/>
  <c r="BD109" i="6"/>
  <c r="AP109" i="6"/>
  <c r="AG109" i="6"/>
  <c r="BA109" i="6"/>
  <c r="BC109" i="6"/>
  <c r="AZ109" i="6"/>
  <c r="AX109" i="6"/>
  <c r="BF109" i="6"/>
  <c r="AS109" i="6"/>
  <c r="AI109" i="6"/>
  <c r="AO109" i="6"/>
  <c r="AD109" i="6"/>
  <c r="AR110" i="6"/>
  <c r="AV110" i="6"/>
  <c r="BE110" i="6"/>
  <c r="AZ110" i="6"/>
  <c r="AG113" i="5"/>
  <c r="S113" i="5"/>
  <c r="F113" i="12" s="1"/>
  <c r="AU110" i="6"/>
  <c r="AN110" i="6"/>
  <c r="AE110" i="6"/>
  <c r="G111" i="6"/>
  <c r="H111" i="6"/>
  <c r="T111" i="5" s="1"/>
  <c r="D107" i="12"/>
  <c r="E107" i="6"/>
  <c r="X106" i="12"/>
  <c r="W106" i="12"/>
  <c r="C108" i="12"/>
  <c r="AO108" i="12"/>
  <c r="M108" i="12"/>
  <c r="O108" i="12"/>
  <c r="A111" i="6"/>
  <c r="L112" i="12"/>
  <c r="J112" i="12"/>
  <c r="F112" i="6"/>
  <c r="E112" i="12"/>
  <c r="AG110" i="6"/>
  <c r="BA110" i="6"/>
  <c r="AO110" i="6"/>
  <c r="AM110" i="6"/>
  <c r="AT110" i="6"/>
  <c r="AX110" i="6"/>
  <c r="AD110" i="6"/>
  <c r="G110" i="12"/>
  <c r="X110" i="5"/>
  <c r="AA108" i="5"/>
  <c r="AB108" i="5"/>
  <c r="C108" i="6"/>
  <c r="O108" i="5"/>
  <c r="K111" i="12"/>
  <c r="D112" i="6"/>
  <c r="N113" i="5"/>
  <c r="H113" i="5"/>
  <c r="J113" i="5"/>
  <c r="A113" i="12"/>
  <c r="B113" i="5"/>
  <c r="R113" i="5"/>
  <c r="W113" i="5"/>
  <c r="H113" i="12" s="1"/>
  <c r="K113" i="5"/>
  <c r="F113" i="5"/>
  <c r="G113" i="5"/>
  <c r="B113" i="6"/>
  <c r="AE113" i="5"/>
  <c r="D113" i="5"/>
  <c r="B113" i="12" s="1"/>
  <c r="E113" i="5"/>
  <c r="C114" i="5"/>
  <c r="AD113" i="5"/>
  <c r="AI110" i="6"/>
  <c r="BG110" i="6"/>
  <c r="AP110" i="6"/>
  <c r="AJ110" i="6"/>
  <c r="AF110" i="6"/>
  <c r="BD110" i="6"/>
  <c r="BC110" i="6"/>
  <c r="AB110" i="6"/>
  <c r="AH110" i="6"/>
  <c r="AS110" i="6"/>
  <c r="BB110" i="6"/>
  <c r="AQ110" i="6"/>
  <c r="BF110" i="6"/>
  <c r="AC110" i="6"/>
  <c r="AK110" i="6"/>
  <c r="I109" i="12"/>
  <c r="AM109" i="5"/>
  <c r="L109" i="5"/>
  <c r="Z109" i="5"/>
  <c r="AC109" i="5"/>
  <c r="N107" i="12"/>
  <c r="Y107" i="12"/>
  <c r="AF114" i="5"/>
  <c r="S114" i="5" l="1"/>
  <c r="F114" i="12" s="1"/>
  <c r="AG114" i="5"/>
  <c r="N108" i="12"/>
  <c r="W107" i="12"/>
  <c r="X107" i="12"/>
  <c r="D113" i="6"/>
  <c r="H112" i="6"/>
  <c r="T112" i="5" s="1"/>
  <c r="G112" i="6"/>
  <c r="E108" i="6"/>
  <c r="D108" i="12"/>
  <c r="AM110" i="5"/>
  <c r="I110" i="12"/>
  <c r="L110" i="5"/>
  <c r="Z110" i="5"/>
  <c r="AC110" i="5"/>
  <c r="K112" i="12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4" i="12"/>
  <c r="K114" i="5"/>
  <c r="J114" i="5"/>
  <c r="B114" i="6"/>
  <c r="F114" i="5"/>
  <c r="AE114" i="5"/>
  <c r="R114" i="5"/>
  <c r="W114" i="5"/>
  <c r="H114" i="12" s="1"/>
  <c r="C115" i="5"/>
  <c r="AD114" i="5"/>
  <c r="G114" i="5"/>
  <c r="D114" i="5"/>
  <c r="B114" i="12" s="1"/>
  <c r="H114" i="5"/>
  <c r="N114" i="5"/>
  <c r="E114" i="5"/>
  <c r="B114" i="5"/>
  <c r="F113" i="6"/>
  <c r="E113" i="12"/>
  <c r="J113" i="12"/>
  <c r="L113" i="12"/>
  <c r="A112" i="6"/>
  <c r="M111" i="6"/>
  <c r="AG111" i="6" s="1"/>
  <c r="AF115" i="5"/>
  <c r="A113" i="6" l="1"/>
  <c r="M113" i="6" s="1"/>
  <c r="AO113" i="6" s="1"/>
  <c r="AG115" i="5"/>
  <c r="S115" i="5"/>
  <c r="F115" i="12" s="1"/>
  <c r="AE111" i="6"/>
  <c r="AH111" i="6"/>
  <c r="AB111" i="6"/>
  <c r="AK111" i="6"/>
  <c r="K113" i="12"/>
  <c r="Y109" i="12"/>
  <c r="X109" i="12" s="1"/>
  <c r="AD115" i="5"/>
  <c r="R115" i="5"/>
  <c r="B115" i="5"/>
  <c r="C116" i="5"/>
  <c r="B115" i="6"/>
  <c r="J115" i="5"/>
  <c r="K115" i="5"/>
  <c r="F115" i="5"/>
  <c r="A115" i="12"/>
  <c r="G115" i="5"/>
  <c r="AE115" i="5"/>
  <c r="N115" i="5"/>
  <c r="E115" i="5"/>
  <c r="H115" i="5"/>
  <c r="D115" i="5"/>
  <c r="B115" i="12" s="1"/>
  <c r="W115" i="5"/>
  <c r="H115" i="12" s="1"/>
  <c r="E114" i="12"/>
  <c r="F114" i="6"/>
  <c r="E109" i="6"/>
  <c r="D109" i="12"/>
  <c r="L111" i="5"/>
  <c r="AM111" i="5"/>
  <c r="I111" i="12"/>
  <c r="Z111" i="5"/>
  <c r="AC111" i="5"/>
  <c r="C110" i="6"/>
  <c r="O110" i="5"/>
  <c r="M112" i="6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D114" i="6"/>
  <c r="J114" i="12"/>
  <c r="L114" i="12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G113" i="6"/>
  <c r="H113" i="6"/>
  <c r="T113" i="5" s="1"/>
  <c r="T107" i="12"/>
  <c r="V107" i="12"/>
  <c r="U107" i="12"/>
  <c r="AF116" i="5"/>
  <c r="AN113" i="6" l="1"/>
  <c r="BA113" i="6"/>
  <c r="AM113" i="6"/>
  <c r="AV113" i="6"/>
  <c r="K114" i="12"/>
  <c r="W109" i="12"/>
  <c r="T109" i="12" s="1"/>
  <c r="S116" i="5"/>
  <c r="F116" i="12" s="1"/>
  <c r="AG116" i="5"/>
  <c r="BF113" i="6"/>
  <c r="AR113" i="6"/>
  <c r="AU113" i="6"/>
  <c r="BD113" i="6"/>
  <c r="AX113" i="6"/>
  <c r="AF113" i="6"/>
  <c r="AT113" i="6"/>
  <c r="AG113" i="6"/>
  <c r="BE113" i="6"/>
  <c r="AQ113" i="6"/>
  <c r="AY113" i="6"/>
  <c r="AZ113" i="6"/>
  <c r="BC113" i="6"/>
  <c r="BB113" i="6"/>
  <c r="Y110" i="12"/>
  <c r="W110" i="12" s="1"/>
  <c r="G113" i="12"/>
  <c r="X113" i="5"/>
  <c r="AK113" i="6"/>
  <c r="AI113" i="6"/>
  <c r="AE113" i="6"/>
  <c r="AB113" i="6"/>
  <c r="I112" i="12"/>
  <c r="AM112" i="5"/>
  <c r="L112" i="5"/>
  <c r="Z112" i="5"/>
  <c r="AC112" i="5"/>
  <c r="T108" i="12"/>
  <c r="V108" i="12"/>
  <c r="U108" i="12"/>
  <c r="AA111" i="5"/>
  <c r="AB111" i="5"/>
  <c r="C111" i="12"/>
  <c r="O111" i="12"/>
  <c r="AO111" i="12"/>
  <c r="M111" i="12"/>
  <c r="C111" i="6"/>
  <c r="O111" i="5"/>
  <c r="D115" i="6"/>
  <c r="W116" i="5"/>
  <c r="H116" i="12" s="1"/>
  <c r="AD116" i="5"/>
  <c r="R116" i="5"/>
  <c r="A116" i="12"/>
  <c r="B116" i="6"/>
  <c r="E116" i="5"/>
  <c r="K116" i="5"/>
  <c r="D116" i="5"/>
  <c r="B116" i="12" s="1"/>
  <c r="C117" i="5"/>
  <c r="F116" i="5"/>
  <c r="J116" i="5"/>
  <c r="B116" i="5"/>
  <c r="N116" i="5"/>
  <c r="AE116" i="5"/>
  <c r="G116" i="5"/>
  <c r="H116" i="5"/>
  <c r="E115" i="12"/>
  <c r="F115" i="6"/>
  <c r="AC113" i="6"/>
  <c r="AP113" i="6"/>
  <c r="BG113" i="6"/>
  <c r="AJ113" i="6"/>
  <c r="AS113" i="6"/>
  <c r="AD113" i="6"/>
  <c r="AH113" i="6"/>
  <c r="N110" i="12"/>
  <c r="G114" i="6"/>
  <c r="H114" i="6"/>
  <c r="T114" i="5" s="1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A114" i="6"/>
  <c r="J115" i="12"/>
  <c r="L115" i="12"/>
  <c r="AF117" i="5"/>
  <c r="X110" i="12" l="1"/>
  <c r="V109" i="12"/>
  <c r="U109" i="12"/>
  <c r="S117" i="5"/>
  <c r="F117" i="12" s="1"/>
  <c r="AG117" i="5"/>
  <c r="M114" i="6"/>
  <c r="AH114" i="6" s="1"/>
  <c r="Y111" i="12"/>
  <c r="W111" i="12" s="1"/>
  <c r="D116" i="6"/>
  <c r="B117" i="6"/>
  <c r="AD117" i="5"/>
  <c r="H117" i="5"/>
  <c r="E117" i="5"/>
  <c r="D117" i="5"/>
  <c r="B117" i="12" s="1"/>
  <c r="F117" i="5"/>
  <c r="R117" i="5"/>
  <c r="AE117" i="5"/>
  <c r="K117" i="5"/>
  <c r="W117" i="5"/>
  <c r="H117" i="12" s="1"/>
  <c r="G117" i="5"/>
  <c r="A117" i="12"/>
  <c r="J117" i="5"/>
  <c r="B117" i="5"/>
  <c r="C118" i="5" s="1"/>
  <c r="R118" i="5" s="1"/>
  <c r="N117" i="5"/>
  <c r="F116" i="6"/>
  <c r="E116" i="12"/>
  <c r="H115" i="6"/>
  <c r="T115" i="5" s="1"/>
  <c r="G115" i="6"/>
  <c r="AB112" i="5"/>
  <c r="AA112" i="5"/>
  <c r="AM113" i="5"/>
  <c r="L113" i="5"/>
  <c r="I113" i="12"/>
  <c r="Z113" i="5"/>
  <c r="AC113" i="5"/>
  <c r="A115" i="6"/>
  <c r="K115" i="12"/>
  <c r="G114" i="12"/>
  <c r="X114" i="5"/>
  <c r="J116" i="12"/>
  <c r="L116" i="12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F118" i="5"/>
  <c r="X111" i="12" l="1"/>
  <c r="AP114" i="6"/>
  <c r="AK114" i="6"/>
  <c r="AX114" i="6"/>
  <c r="AN114" i="6"/>
  <c r="BE114" i="6"/>
  <c r="AG114" i="6"/>
  <c r="AY114" i="6"/>
  <c r="AG118" i="5"/>
  <c r="S118" i="5"/>
  <c r="F118" i="12" s="1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116" i="6"/>
  <c r="AE114" i="6"/>
  <c r="AB114" i="6"/>
  <c r="AC114" i="6"/>
  <c r="D112" i="12"/>
  <c r="E112" i="6"/>
  <c r="C113" i="12"/>
  <c r="AO113" i="12"/>
  <c r="O113" i="12"/>
  <c r="M113" i="12"/>
  <c r="M115" i="6"/>
  <c r="AC115" i="6" s="1"/>
  <c r="G115" i="12"/>
  <c r="X115" i="5"/>
  <c r="D117" i="6"/>
  <c r="J117" i="12"/>
  <c r="L117" i="12"/>
  <c r="N112" i="12"/>
  <c r="K116" i="12"/>
  <c r="L114" i="5"/>
  <c r="AM114" i="5"/>
  <c r="I114" i="12"/>
  <c r="Z114" i="5"/>
  <c r="AC114" i="5"/>
  <c r="AB113" i="5"/>
  <c r="AA113" i="5"/>
  <c r="C113" i="6"/>
  <c r="O113" i="5"/>
  <c r="V111" i="12"/>
  <c r="T111" i="12"/>
  <c r="U111" i="12"/>
  <c r="C119" i="5"/>
  <c r="F118" i="5"/>
  <c r="B118" i="5"/>
  <c r="AE118" i="5"/>
  <c r="A118" i="12"/>
  <c r="AD118" i="5"/>
  <c r="B118" i="6"/>
  <c r="H118" i="5"/>
  <c r="E118" i="5"/>
  <c r="G118" i="5"/>
  <c r="W118" i="5"/>
  <c r="H118" i="12" s="1"/>
  <c r="N118" i="5"/>
  <c r="F117" i="6"/>
  <c r="E117" i="12"/>
  <c r="H116" i="6"/>
  <c r="T116" i="5" s="1"/>
  <c r="G116" i="6"/>
  <c r="AH115" i="6" l="1"/>
  <c r="A117" i="6"/>
  <c r="AI115" i="6"/>
  <c r="X112" i="12"/>
  <c r="M116" i="6"/>
  <c r="AM116" i="6" s="1"/>
  <c r="AB115" i="6"/>
  <c r="AG115" i="6"/>
  <c r="K117" i="12"/>
  <c r="Y113" i="12"/>
  <c r="W113" i="12" s="1"/>
  <c r="G116" i="12"/>
  <c r="X116" i="5"/>
  <c r="D118" i="6"/>
  <c r="E118" i="12"/>
  <c r="F118" i="6"/>
  <c r="D113" i="12"/>
  <c r="E113" i="6"/>
  <c r="H117" i="6"/>
  <c r="T117" i="5" s="1"/>
  <c r="G117" i="6"/>
  <c r="G119" i="5"/>
  <c r="H119" i="5"/>
  <c r="C120" i="5"/>
  <c r="J119" i="5"/>
  <c r="W119" i="5"/>
  <c r="H119" i="12" s="1"/>
  <c r="F119" i="5"/>
  <c r="AD119" i="5"/>
  <c r="A119" i="12"/>
  <c r="K119" i="5"/>
  <c r="B119" i="6"/>
  <c r="N119" i="5"/>
  <c r="B119" i="5"/>
  <c r="E119" i="5"/>
  <c r="AE119" i="5"/>
  <c r="D119" i="5"/>
  <c r="B119" i="12" s="1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C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F120" i="5"/>
  <c r="A118" i="6" l="1"/>
  <c r="M118" i="6" s="1"/>
  <c r="BA118" i="6" s="1"/>
  <c r="M117" i="6"/>
  <c r="AN117" i="6" s="1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S120" i="5"/>
  <c r="F120" i="12" s="1"/>
  <c r="AG120" i="5"/>
  <c r="C115" i="12"/>
  <c r="O115" i="12"/>
  <c r="AO115" i="12"/>
  <c r="M115" i="12"/>
  <c r="D119" i="6"/>
  <c r="C121" i="5"/>
  <c r="B120" i="6"/>
  <c r="H120" i="5"/>
  <c r="AD120" i="5"/>
  <c r="E120" i="5"/>
  <c r="N120" i="5"/>
  <c r="F120" i="5"/>
  <c r="W120" i="5"/>
  <c r="H120" i="12" s="1"/>
  <c r="D120" i="5"/>
  <c r="B120" i="12" s="1"/>
  <c r="R120" i="5"/>
  <c r="AE120" i="5"/>
  <c r="J120" i="5"/>
  <c r="B120" i="5"/>
  <c r="K120" i="5"/>
  <c r="A120" i="12"/>
  <c r="G120" i="5"/>
  <c r="T113" i="12"/>
  <c r="V113" i="12"/>
  <c r="U113" i="12"/>
  <c r="G117" i="12"/>
  <c r="X117" i="5"/>
  <c r="I116" i="12"/>
  <c r="AM116" i="5"/>
  <c r="L116" i="5"/>
  <c r="Z116" i="5"/>
  <c r="AC116" i="5"/>
  <c r="AA115" i="5"/>
  <c r="AB115" i="5"/>
  <c r="C115" i="6"/>
  <c r="O115" i="5"/>
  <c r="D114" i="12"/>
  <c r="E114" i="6"/>
  <c r="N114" i="12"/>
  <c r="Y114" i="12"/>
  <c r="L119" i="12"/>
  <c r="J119" i="12"/>
  <c r="G118" i="6"/>
  <c r="H118" i="6"/>
  <c r="T118" i="5" s="1"/>
  <c r="AF121" i="5"/>
  <c r="A119" i="6" l="1"/>
  <c r="M119" i="6" s="1"/>
  <c r="BB119" i="6" s="1"/>
  <c r="AC117" i="6"/>
  <c r="BG117" i="6"/>
  <c r="AZ117" i="6"/>
  <c r="AJ117" i="6"/>
  <c r="AO117" i="6"/>
  <c r="AB117" i="6"/>
  <c r="BD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S121" i="5"/>
  <c r="F121" i="12" s="1"/>
  <c r="AG121" i="5"/>
  <c r="AY118" i="6"/>
  <c r="BB118" i="6"/>
  <c r="AS118" i="6"/>
  <c r="BC118" i="6"/>
  <c r="BE118" i="6"/>
  <c r="AZ118" i="6"/>
  <c r="BD118" i="6"/>
  <c r="AR118" i="6"/>
  <c r="AU118" i="6"/>
  <c r="AT118" i="6"/>
  <c r="AO118" i="6"/>
  <c r="AN118" i="6"/>
  <c r="BF118" i="6"/>
  <c r="K119" i="12"/>
  <c r="AC118" i="6"/>
  <c r="AQ118" i="6"/>
  <c r="AV118" i="6"/>
  <c r="G118" i="12"/>
  <c r="AG118" i="6"/>
  <c r="AK118" i="6"/>
  <c r="AI118" i="6"/>
  <c r="AF118" i="6"/>
  <c r="X114" i="12"/>
  <c r="W114" i="12"/>
  <c r="E115" i="6"/>
  <c r="D115" i="12"/>
  <c r="AB116" i="5"/>
  <c r="AA116" i="5"/>
  <c r="I117" i="12"/>
  <c r="AM117" i="5"/>
  <c r="L117" i="5"/>
  <c r="Z117" i="5"/>
  <c r="AC117" i="5"/>
  <c r="J120" i="12"/>
  <c r="L120" i="12"/>
  <c r="D120" i="6"/>
  <c r="N115" i="12"/>
  <c r="AB118" i="6"/>
  <c r="AE118" i="6"/>
  <c r="AM118" i="6"/>
  <c r="BG118" i="6"/>
  <c r="AH118" i="6"/>
  <c r="AJ118" i="6"/>
  <c r="AD118" i="6"/>
  <c r="AX118" i="6"/>
  <c r="AP118" i="6"/>
  <c r="C116" i="6"/>
  <c r="O116" i="5"/>
  <c r="C116" i="12"/>
  <c r="O116" i="12"/>
  <c r="M116" i="12"/>
  <c r="AO116" i="12"/>
  <c r="E120" i="12"/>
  <c r="F120" i="6"/>
  <c r="B121" i="6"/>
  <c r="K121" i="5"/>
  <c r="N121" i="5"/>
  <c r="E121" i="5"/>
  <c r="R121" i="5"/>
  <c r="H121" i="5"/>
  <c r="D121" i="5"/>
  <c r="B121" i="12" s="1"/>
  <c r="B121" i="5"/>
  <c r="W121" i="5"/>
  <c r="H121" i="12" s="1"/>
  <c r="F121" i="5"/>
  <c r="J121" i="5"/>
  <c r="AE121" i="5"/>
  <c r="C122" i="5"/>
  <c r="A121" i="12"/>
  <c r="G121" i="5"/>
  <c r="AD121" i="5"/>
  <c r="H119" i="6"/>
  <c r="T119" i="5" s="1"/>
  <c r="Y115" i="12"/>
  <c r="AF122" i="5"/>
  <c r="A120" i="6" l="1"/>
  <c r="M120" i="6" s="1"/>
  <c r="BE120" i="6" s="1"/>
  <c r="Y116" i="12"/>
  <c r="W116" i="12" s="1"/>
  <c r="AO119" i="6"/>
  <c r="AE119" i="6"/>
  <c r="AR119" i="6"/>
  <c r="AG122" i="5"/>
  <c r="S122" i="5"/>
  <c r="F122" i="12" s="1"/>
  <c r="AD119" i="6"/>
  <c r="N116" i="12"/>
  <c r="K120" i="12"/>
  <c r="AZ119" i="6"/>
  <c r="AG119" i="6"/>
  <c r="AI119" i="6"/>
  <c r="AB119" i="6"/>
  <c r="BA119" i="6"/>
  <c r="AS119" i="6"/>
  <c r="AX119" i="6"/>
  <c r="AJ119" i="6"/>
  <c r="AQ119" i="6"/>
  <c r="BC119" i="6"/>
  <c r="AP119" i="6"/>
  <c r="J121" i="12"/>
  <c r="L121" i="12"/>
  <c r="E116" i="6"/>
  <c r="D116" i="12"/>
  <c r="AA117" i="5"/>
  <c r="AB117" i="5"/>
  <c r="T114" i="12"/>
  <c r="U114" i="12"/>
  <c r="V114" i="12"/>
  <c r="X115" i="12"/>
  <c r="W115" i="12"/>
  <c r="BE119" i="6"/>
  <c r="AU119" i="6"/>
  <c r="BD119" i="6"/>
  <c r="AM119" i="6"/>
  <c r="AN119" i="6"/>
  <c r="AY119" i="6"/>
  <c r="BF119" i="6"/>
  <c r="AK119" i="6"/>
  <c r="G119" i="12"/>
  <c r="X119" i="5"/>
  <c r="AV119" i="6"/>
  <c r="AT119" i="6"/>
  <c r="AC119" i="6"/>
  <c r="AF119" i="6"/>
  <c r="BG119" i="6"/>
  <c r="AH119" i="6"/>
  <c r="K122" i="5"/>
  <c r="W122" i="5"/>
  <c r="H122" i="12" s="1"/>
  <c r="R122" i="5"/>
  <c r="H122" i="5"/>
  <c r="B122" i="6"/>
  <c r="D122" i="5"/>
  <c r="B122" i="12" s="1"/>
  <c r="N122" i="5"/>
  <c r="AD122" i="5"/>
  <c r="B122" i="5"/>
  <c r="A122" i="12"/>
  <c r="E122" i="5"/>
  <c r="C123" i="5"/>
  <c r="AE122" i="5"/>
  <c r="J122" i="5"/>
  <c r="G122" i="5"/>
  <c r="F122" i="5"/>
  <c r="F121" i="6"/>
  <c r="E121" i="12"/>
  <c r="D121" i="6"/>
  <c r="H120" i="6"/>
  <c r="T120" i="5" s="1"/>
  <c r="G120" i="6"/>
  <c r="C117" i="6"/>
  <c r="O117" i="5"/>
  <c r="C117" i="12"/>
  <c r="AO117" i="12"/>
  <c r="M117" i="12"/>
  <c r="O117" i="12"/>
  <c r="AF123" i="5"/>
  <c r="A121" i="6" l="1"/>
  <c r="M121" i="6" s="1"/>
  <c r="AP121" i="6" s="1"/>
  <c r="X116" i="12"/>
  <c r="K121" i="12"/>
  <c r="S123" i="5"/>
  <c r="F123" i="12" s="1"/>
  <c r="AG123" i="5"/>
  <c r="BG120" i="6"/>
  <c r="N117" i="12"/>
  <c r="AF120" i="6"/>
  <c r="AR120" i="6"/>
  <c r="AQ120" i="6"/>
  <c r="BA120" i="6"/>
  <c r="AH120" i="6"/>
  <c r="AD120" i="6"/>
  <c r="Y117" i="12"/>
  <c r="E117" i="6"/>
  <c r="D117" i="12"/>
  <c r="AC120" i="6"/>
  <c r="AO120" i="6"/>
  <c r="AY120" i="6"/>
  <c r="AP120" i="6"/>
  <c r="AM120" i="6"/>
  <c r="BB120" i="6"/>
  <c r="AE120" i="6"/>
  <c r="AI120" i="6"/>
  <c r="G121" i="6"/>
  <c r="H121" i="6"/>
  <c r="T121" i="5" s="1"/>
  <c r="E123" i="5"/>
  <c r="D123" i="5"/>
  <c r="B123" i="12" s="1"/>
  <c r="W123" i="5"/>
  <c r="H123" i="12" s="1"/>
  <c r="AD123" i="5"/>
  <c r="F123" i="5"/>
  <c r="B123" i="5"/>
  <c r="R123" i="5"/>
  <c r="AE123" i="5"/>
  <c r="C124" i="5"/>
  <c r="B123" i="6"/>
  <c r="K123" i="5"/>
  <c r="A123" i="12"/>
  <c r="H123" i="5"/>
  <c r="J123" i="5"/>
  <c r="G123" i="5"/>
  <c r="N123" i="5"/>
  <c r="J122" i="12"/>
  <c r="L122" i="12"/>
  <c r="D122" i="6"/>
  <c r="E122" i="12"/>
  <c r="F122" i="6"/>
  <c r="AV120" i="6"/>
  <c r="AS120" i="6"/>
  <c r="AU120" i="6"/>
  <c r="AG120" i="6"/>
  <c r="AT120" i="6"/>
  <c r="BD120" i="6"/>
  <c r="AJ120" i="6"/>
  <c r="AK120" i="6"/>
  <c r="AB120" i="6"/>
  <c r="AX120" i="6"/>
  <c r="BF120" i="6"/>
  <c r="BC120" i="6"/>
  <c r="AZ120" i="6"/>
  <c r="AN120" i="6"/>
  <c r="G120" i="12"/>
  <c r="X120" i="5"/>
  <c r="L119" i="5"/>
  <c r="I119" i="12"/>
  <c r="AM119" i="5"/>
  <c r="Z119" i="5"/>
  <c r="U115" i="12"/>
  <c r="V115" i="12"/>
  <c r="T115" i="12"/>
  <c r="U116" i="12"/>
  <c r="T116" i="12"/>
  <c r="V116" i="12"/>
  <c r="AF124" i="5"/>
  <c r="S124" i="5" l="1"/>
  <c r="F124" i="12" s="1"/>
  <c r="AG124" i="5"/>
  <c r="AO121" i="6"/>
  <c r="AM121" i="6"/>
  <c r="AC121" i="6"/>
  <c r="AX121" i="6"/>
  <c r="AB121" i="6"/>
  <c r="AN121" i="6"/>
  <c r="AY121" i="6"/>
  <c r="BD121" i="6"/>
  <c r="AU121" i="6"/>
  <c r="AQ121" i="6"/>
  <c r="AK121" i="6"/>
  <c r="BC121" i="6"/>
  <c r="AV121" i="6"/>
  <c r="BE121" i="6"/>
  <c r="BG121" i="6"/>
  <c r="AS121" i="6"/>
  <c r="AB119" i="5"/>
  <c r="C119" i="6"/>
  <c r="G122" i="6"/>
  <c r="H122" i="6"/>
  <c r="T122" i="5" s="1"/>
  <c r="D123" i="6"/>
  <c r="F124" i="5"/>
  <c r="B124" i="6"/>
  <c r="D124" i="5"/>
  <c r="B124" i="12" s="1"/>
  <c r="J124" i="5"/>
  <c r="AD124" i="5"/>
  <c r="R124" i="5"/>
  <c r="K124" i="5"/>
  <c r="A124" i="12"/>
  <c r="H124" i="5"/>
  <c r="E124" i="5"/>
  <c r="C125" i="5"/>
  <c r="G124" i="5"/>
  <c r="B124" i="5"/>
  <c r="AE124" i="5"/>
  <c r="N124" i="5"/>
  <c r="W124" i="5"/>
  <c r="H124" i="12" s="1"/>
  <c r="F123" i="6"/>
  <c r="E123" i="12"/>
  <c r="G121" i="12"/>
  <c r="X121" i="5"/>
  <c r="AE121" i="6"/>
  <c r="AG121" i="6"/>
  <c r="C119" i="12"/>
  <c r="O119" i="12"/>
  <c r="M119" i="12"/>
  <c r="AO119" i="12"/>
  <c r="L120" i="5"/>
  <c r="AM120" i="5"/>
  <c r="I120" i="12"/>
  <c r="Z120" i="5"/>
  <c r="AC120" i="5"/>
  <c r="A122" i="6"/>
  <c r="K122" i="12"/>
  <c r="L123" i="12"/>
  <c r="J123" i="12"/>
  <c r="AJ121" i="6"/>
  <c r="AZ121" i="6"/>
  <c r="BA121" i="6"/>
  <c r="AD121" i="6"/>
  <c r="BB121" i="6"/>
  <c r="AR121" i="6"/>
  <c r="AT121" i="6"/>
  <c r="BF121" i="6"/>
  <c r="AI121" i="6"/>
  <c r="AF121" i="6"/>
  <c r="AH121" i="6"/>
  <c r="X117" i="12"/>
  <c r="W117" i="12"/>
  <c r="AF125" i="5"/>
  <c r="Y119" i="12" l="1"/>
  <c r="W119" i="12" s="1"/>
  <c r="S125" i="5"/>
  <c r="F125" i="12" s="1"/>
  <c r="AG125" i="5"/>
  <c r="N119" i="12"/>
  <c r="A123" i="6"/>
  <c r="M123" i="6" s="1"/>
  <c r="M122" i="6"/>
  <c r="AU122" i="6" s="1"/>
  <c r="L121" i="5"/>
  <c r="I121" i="12"/>
  <c r="AM121" i="5"/>
  <c r="Z121" i="5"/>
  <c r="AC121" i="5"/>
  <c r="D124" i="6"/>
  <c r="AE125" i="5"/>
  <c r="E125" i="5"/>
  <c r="B125" i="6"/>
  <c r="N125" i="5"/>
  <c r="R125" i="5"/>
  <c r="D125" i="5"/>
  <c r="B125" i="12" s="1"/>
  <c r="J125" i="5"/>
  <c r="C126" i="5"/>
  <c r="G125" i="5"/>
  <c r="K125" i="5"/>
  <c r="AD125" i="5"/>
  <c r="A125" i="12"/>
  <c r="B125" i="5"/>
  <c r="H125" i="5"/>
  <c r="F125" i="5"/>
  <c r="W125" i="5"/>
  <c r="H125" i="12" s="1"/>
  <c r="F124" i="6"/>
  <c r="E124" i="12"/>
  <c r="V117" i="12"/>
  <c r="U117" i="12"/>
  <c r="T117" i="12"/>
  <c r="K123" i="12"/>
  <c r="AB120" i="5"/>
  <c r="AA120" i="5"/>
  <c r="C120" i="12"/>
  <c r="AO120" i="12"/>
  <c r="O120" i="12"/>
  <c r="M120" i="12"/>
  <c r="C120" i="6"/>
  <c r="O120" i="5"/>
  <c r="L124" i="12"/>
  <c r="J124" i="12"/>
  <c r="H123" i="6"/>
  <c r="T123" i="5" s="1"/>
  <c r="G123" i="6"/>
  <c r="G122" i="12"/>
  <c r="X122" i="5"/>
  <c r="AF126" i="5"/>
  <c r="AR122" i="6" l="1"/>
  <c r="X119" i="12"/>
  <c r="A124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AQ123" i="6"/>
  <c r="BB123" i="6"/>
  <c r="AS123" i="6"/>
  <c r="AY123" i="6"/>
  <c r="BD123" i="6"/>
  <c r="AF123" i="6"/>
  <c r="AO123" i="6"/>
  <c r="AR123" i="6"/>
  <c r="BE123" i="6"/>
  <c r="AI123" i="6"/>
  <c r="AU123" i="6"/>
  <c r="AM123" i="6"/>
  <c r="AV123" i="6"/>
  <c r="AG126" i="5"/>
  <c r="S126" i="5"/>
  <c r="F126" i="12" s="1"/>
  <c r="Y120" i="12"/>
  <c r="W120" i="12" s="1"/>
  <c r="AZ123" i="6"/>
  <c r="BF123" i="6"/>
  <c r="AP123" i="6"/>
  <c r="AD123" i="6"/>
  <c r="AN123" i="6"/>
  <c r="BA123" i="6"/>
  <c r="AH123" i="6"/>
  <c r="AT123" i="6"/>
  <c r="BC123" i="6"/>
  <c r="BG123" i="6"/>
  <c r="AX123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AC122" i="5"/>
  <c r="G123" i="12"/>
  <c r="X123" i="5"/>
  <c r="E120" i="6"/>
  <c r="D120" i="12"/>
  <c r="J126" i="5"/>
  <c r="D126" i="5"/>
  <c r="B126" i="12" s="1"/>
  <c r="A126" i="12"/>
  <c r="B126" i="6"/>
  <c r="N126" i="5"/>
  <c r="B126" i="5"/>
  <c r="K126" i="5"/>
  <c r="W126" i="5"/>
  <c r="H126" i="12" s="1"/>
  <c r="F126" i="5"/>
  <c r="AE126" i="5"/>
  <c r="H126" i="5"/>
  <c r="E126" i="5"/>
  <c r="C127" i="5"/>
  <c r="R126" i="5"/>
  <c r="G126" i="5"/>
  <c r="AD126" i="5"/>
  <c r="D125" i="6"/>
  <c r="AA121" i="5"/>
  <c r="AB121" i="5"/>
  <c r="C121" i="12"/>
  <c r="O121" i="12"/>
  <c r="M121" i="12"/>
  <c r="AO121" i="12"/>
  <c r="T119" i="12"/>
  <c r="U119" i="12"/>
  <c r="V119" i="12"/>
  <c r="AG123" i="6"/>
  <c r="AJ123" i="6"/>
  <c r="AK123" i="6"/>
  <c r="AB123" i="6"/>
  <c r="AC123" i="6"/>
  <c r="AE123" i="6"/>
  <c r="K124" i="12"/>
  <c r="N120" i="12"/>
  <c r="L125" i="12"/>
  <c r="J125" i="12"/>
  <c r="E125" i="12"/>
  <c r="F125" i="6"/>
  <c r="G124" i="6"/>
  <c r="H124" i="6"/>
  <c r="T124" i="5" s="1"/>
  <c r="C121" i="6"/>
  <c r="O121" i="5"/>
  <c r="AF127" i="5"/>
  <c r="M124" i="6" l="1"/>
  <c r="BF124" i="6" s="1"/>
  <c r="Y121" i="12"/>
  <c r="X121" i="12" s="1"/>
  <c r="X120" i="12"/>
  <c r="S127" i="5"/>
  <c r="F127" i="12" s="1"/>
  <c r="AG127" i="5"/>
  <c r="N121" i="12"/>
  <c r="G124" i="12"/>
  <c r="X124" i="5"/>
  <c r="K125" i="12"/>
  <c r="W121" i="12"/>
  <c r="G125" i="6"/>
  <c r="H125" i="6"/>
  <c r="T125" i="5" s="1"/>
  <c r="G127" i="5"/>
  <c r="D127" i="5"/>
  <c r="B127" i="12" s="1"/>
  <c r="N127" i="5"/>
  <c r="AE127" i="5"/>
  <c r="H127" i="5"/>
  <c r="K127" i="5"/>
  <c r="B127" i="5"/>
  <c r="C128" i="5"/>
  <c r="AD127" i="5"/>
  <c r="W127" i="5"/>
  <c r="H127" i="12" s="1"/>
  <c r="E127" i="5"/>
  <c r="F127" i="5"/>
  <c r="R127" i="5"/>
  <c r="B127" i="6"/>
  <c r="J127" i="5"/>
  <c r="A127" i="12"/>
  <c r="L123" i="5"/>
  <c r="AM123" i="5"/>
  <c r="I123" i="12"/>
  <c r="Z123" i="5"/>
  <c r="AC123" i="5"/>
  <c r="C122" i="6"/>
  <c r="O122" i="5"/>
  <c r="D121" i="12"/>
  <c r="E121" i="6"/>
  <c r="A125" i="6"/>
  <c r="M125" i="6" s="1"/>
  <c r="E126" i="12"/>
  <c r="F126" i="6"/>
  <c r="D126" i="6"/>
  <c r="L126" i="12"/>
  <c r="J126" i="12"/>
  <c r="V120" i="12"/>
  <c r="T120" i="12"/>
  <c r="U120" i="12"/>
  <c r="AB122" i="5"/>
  <c r="AA122" i="5"/>
  <c r="C122" i="12"/>
  <c r="M122" i="12"/>
  <c r="AO122" i="12"/>
  <c r="O122" i="12"/>
  <c r="AF128" i="5"/>
  <c r="AT124" i="6" l="1"/>
  <c r="AZ124" i="6"/>
  <c r="AJ124" i="6"/>
  <c r="AG124" i="6"/>
  <c r="AV124" i="6"/>
  <c r="AD124" i="6"/>
  <c r="AK124" i="6"/>
  <c r="AM124" i="6"/>
  <c r="AF124" i="6"/>
  <c r="AH124" i="6"/>
  <c r="AS124" i="6"/>
  <c r="AY124" i="6"/>
  <c r="AQ124" i="6"/>
  <c r="AO124" i="6"/>
  <c r="AB124" i="6"/>
  <c r="BE124" i="6"/>
  <c r="BG124" i="6"/>
  <c r="BB124" i="6"/>
  <c r="AE124" i="6"/>
  <c r="AX124" i="6"/>
  <c r="BA124" i="6"/>
  <c r="AP124" i="6"/>
  <c r="AU124" i="6"/>
  <c r="AI124" i="6"/>
  <c r="BC124" i="6"/>
  <c r="AR124" i="6"/>
  <c r="BD124" i="6"/>
  <c r="AC124" i="6"/>
  <c r="AN124" i="6"/>
  <c r="N122" i="12"/>
  <c r="AG128" i="5"/>
  <c r="S128" i="5"/>
  <c r="F128" i="12" s="1"/>
  <c r="K126" i="12"/>
  <c r="Y122" i="12"/>
  <c r="W122" i="12" s="1"/>
  <c r="BD125" i="6"/>
  <c r="AX125" i="6"/>
  <c r="AV125" i="6"/>
  <c r="AY125" i="6"/>
  <c r="AO125" i="6"/>
  <c r="BE125" i="6"/>
  <c r="BG125" i="6"/>
  <c r="AZ125" i="6"/>
  <c r="AH125" i="6"/>
  <c r="AU125" i="6"/>
  <c r="AM125" i="6"/>
  <c r="AD125" i="6"/>
  <c r="AG125" i="6"/>
  <c r="AI125" i="6"/>
  <c r="AN125" i="6"/>
  <c r="AS125" i="6"/>
  <c r="AQ125" i="6"/>
  <c r="BC125" i="6"/>
  <c r="BA125" i="6"/>
  <c r="AB125" i="6"/>
  <c r="AE125" i="6"/>
  <c r="AC125" i="6"/>
  <c r="BB125" i="6"/>
  <c r="AR125" i="6"/>
  <c r="AF125" i="6"/>
  <c r="BF125" i="6"/>
  <c r="AP125" i="6"/>
  <c r="AT125" i="6"/>
  <c r="H126" i="6"/>
  <c r="T126" i="5" s="1"/>
  <c r="G126" i="6"/>
  <c r="E122" i="6"/>
  <c r="D122" i="12"/>
  <c r="A126" i="6"/>
  <c r="M126" i="6" s="1"/>
  <c r="F127" i="6"/>
  <c r="E127" i="12"/>
  <c r="D127" i="6"/>
  <c r="T121" i="12"/>
  <c r="V121" i="12"/>
  <c r="U121" i="12"/>
  <c r="L124" i="5"/>
  <c r="I124" i="12"/>
  <c r="AM124" i="5"/>
  <c r="Z124" i="5"/>
  <c r="AC124" i="5"/>
  <c r="AA123" i="5"/>
  <c r="AB123" i="5"/>
  <c r="C123" i="12"/>
  <c r="O123" i="12"/>
  <c r="AO123" i="12"/>
  <c r="M123" i="12"/>
  <c r="C123" i="6"/>
  <c r="O123" i="5"/>
  <c r="J127" i="12"/>
  <c r="L127" i="12"/>
  <c r="B128" i="5"/>
  <c r="A128" i="12"/>
  <c r="AD128" i="5"/>
  <c r="K128" i="5"/>
  <c r="D128" i="5"/>
  <c r="B128" i="12" s="1"/>
  <c r="J128" i="5"/>
  <c r="G128" i="5"/>
  <c r="E128" i="5"/>
  <c r="C129" i="5"/>
  <c r="B128" i="6"/>
  <c r="W128" i="5"/>
  <c r="H128" i="12" s="1"/>
  <c r="N128" i="5"/>
  <c r="R128" i="5"/>
  <c r="H128" i="5"/>
  <c r="AE128" i="5"/>
  <c r="F128" i="5"/>
  <c r="G125" i="12"/>
  <c r="X125" i="5"/>
  <c r="AJ125" i="6"/>
  <c r="AK125" i="6"/>
  <c r="AF129" i="5"/>
  <c r="X122" i="12" l="1"/>
  <c r="K127" i="12"/>
  <c r="S129" i="5"/>
  <c r="F129" i="12" s="1"/>
  <c r="AG129" i="5"/>
  <c r="A127" i="6"/>
  <c r="M127" i="6" s="1"/>
  <c r="BA127" i="6" s="1"/>
  <c r="BC126" i="6"/>
  <c r="AV126" i="6"/>
  <c r="BG126" i="6"/>
  <c r="AP126" i="6"/>
  <c r="AO126" i="6"/>
  <c r="AS126" i="6"/>
  <c r="AR126" i="6"/>
  <c r="BD126" i="6"/>
  <c r="AY126" i="6"/>
  <c r="AU126" i="6"/>
  <c r="AN126" i="6"/>
  <c r="BE126" i="6"/>
  <c r="AM126" i="6"/>
  <c r="BF126" i="6"/>
  <c r="BB126" i="6"/>
  <c r="AI126" i="6"/>
  <c r="AG126" i="6"/>
  <c r="AE126" i="6"/>
  <c r="AT126" i="6"/>
  <c r="AQ126" i="6"/>
  <c r="AF126" i="6"/>
  <c r="AK126" i="6"/>
  <c r="AX126" i="6"/>
  <c r="BA126" i="6"/>
  <c r="AZ126" i="6"/>
  <c r="AB126" i="6"/>
  <c r="D128" i="6"/>
  <c r="L128" i="12"/>
  <c r="J128" i="12"/>
  <c r="D123" i="12"/>
  <c r="E123" i="6"/>
  <c r="N123" i="12"/>
  <c r="C124" i="12"/>
  <c r="O124" i="12"/>
  <c r="AO124" i="12"/>
  <c r="M124" i="12"/>
  <c r="G126" i="12"/>
  <c r="X126" i="5"/>
  <c r="I125" i="12"/>
  <c r="L125" i="5"/>
  <c r="AM125" i="5"/>
  <c r="Z125" i="5"/>
  <c r="AC125" i="5"/>
  <c r="E128" i="12"/>
  <c r="F128" i="6"/>
  <c r="AD129" i="5"/>
  <c r="B129" i="5"/>
  <c r="R129" i="5"/>
  <c r="A129" i="12"/>
  <c r="W129" i="5"/>
  <c r="H129" i="12" s="1"/>
  <c r="F129" i="5"/>
  <c r="G129" i="5"/>
  <c r="B129" i="6"/>
  <c r="C130" i="5"/>
  <c r="N129" i="5"/>
  <c r="E129" i="5"/>
  <c r="D129" i="5"/>
  <c r="B129" i="12" s="1"/>
  <c r="K129" i="5"/>
  <c r="H129" i="5"/>
  <c r="AE129" i="5"/>
  <c r="J129" i="5"/>
  <c r="Y123" i="12"/>
  <c r="AA124" i="5"/>
  <c r="AB124" i="5"/>
  <c r="C124" i="6"/>
  <c r="O124" i="5"/>
  <c r="G127" i="6"/>
  <c r="H127" i="6"/>
  <c r="T127" i="5" s="1"/>
  <c r="AH126" i="6"/>
  <c r="AJ126" i="6"/>
  <c r="AC126" i="6"/>
  <c r="AD126" i="6"/>
  <c r="T122" i="12"/>
  <c r="V122" i="12"/>
  <c r="U122" i="12"/>
  <c r="AF130" i="5"/>
  <c r="AJ127" i="6" l="1"/>
  <c r="AZ127" i="6"/>
  <c r="A128" i="6"/>
  <c r="M128" i="6" s="1"/>
  <c r="AG130" i="5"/>
  <c r="S130" i="5"/>
  <c r="F130" i="12" s="1"/>
  <c r="AT127" i="6"/>
  <c r="AF127" i="6"/>
  <c r="Y124" i="12"/>
  <c r="W124" i="12" s="1"/>
  <c r="BG127" i="6"/>
  <c r="BE127" i="6"/>
  <c r="AM127" i="6"/>
  <c r="AD127" i="6"/>
  <c r="BB127" i="6"/>
  <c r="BC127" i="6"/>
  <c r="AV127" i="6"/>
  <c r="BD127" i="6"/>
  <c r="AU127" i="6"/>
  <c r="AH127" i="6"/>
  <c r="AE127" i="6"/>
  <c r="D124" i="12"/>
  <c r="E124" i="6"/>
  <c r="X123" i="12"/>
  <c r="W123" i="12"/>
  <c r="D129" i="6"/>
  <c r="E129" i="12"/>
  <c r="F129" i="6"/>
  <c r="C125" i="12"/>
  <c r="M125" i="12"/>
  <c r="AO125" i="12"/>
  <c r="O125" i="12"/>
  <c r="K128" i="12"/>
  <c r="BF127" i="6"/>
  <c r="AX127" i="6"/>
  <c r="AK127" i="6"/>
  <c r="G127" i="12"/>
  <c r="X127" i="5"/>
  <c r="AQ127" i="6"/>
  <c r="AS127" i="6"/>
  <c r="AO127" i="6"/>
  <c r="AG127" i="6"/>
  <c r="AY127" i="6"/>
  <c r="AN127" i="6"/>
  <c r="AR127" i="6"/>
  <c r="AP127" i="6"/>
  <c r="AI127" i="6"/>
  <c r="AC127" i="6"/>
  <c r="AB127" i="6"/>
  <c r="AE130" i="5"/>
  <c r="G130" i="5"/>
  <c r="K130" i="5"/>
  <c r="B130" i="6"/>
  <c r="N130" i="5"/>
  <c r="J130" i="5"/>
  <c r="C131" i="5"/>
  <c r="W130" i="5"/>
  <c r="H130" i="12" s="1"/>
  <c r="H130" i="5"/>
  <c r="B130" i="5"/>
  <c r="R130" i="5"/>
  <c r="AD130" i="5"/>
  <c r="E130" i="5"/>
  <c r="D130" i="5"/>
  <c r="B130" i="12" s="1"/>
  <c r="A130" i="12"/>
  <c r="F130" i="5"/>
  <c r="J129" i="12"/>
  <c r="L129" i="12"/>
  <c r="AA125" i="5"/>
  <c r="AB125" i="5"/>
  <c r="C125" i="6"/>
  <c r="O125" i="5"/>
  <c r="I126" i="12"/>
  <c r="L126" i="5"/>
  <c r="AM126" i="5"/>
  <c r="Z126" i="5"/>
  <c r="AC126" i="5"/>
  <c r="N124" i="12"/>
  <c r="G128" i="6"/>
  <c r="H128" i="6"/>
  <c r="T128" i="5" s="1"/>
  <c r="AF131" i="5"/>
  <c r="N125" i="12" l="1"/>
  <c r="X124" i="12"/>
  <c r="BF128" i="6"/>
  <c r="BB128" i="6"/>
  <c r="AV128" i="6"/>
  <c r="BD128" i="6"/>
  <c r="AX128" i="6"/>
  <c r="AZ128" i="6"/>
  <c r="AY128" i="6"/>
  <c r="AQ128" i="6"/>
  <c r="BA128" i="6"/>
  <c r="AM128" i="6"/>
  <c r="BG128" i="6"/>
  <c r="AU128" i="6"/>
  <c r="AT128" i="6"/>
  <c r="AS128" i="6"/>
  <c r="AN128" i="6"/>
  <c r="AP128" i="6"/>
  <c r="AO128" i="6"/>
  <c r="AR128" i="6"/>
  <c r="BC128" i="6"/>
  <c r="BE128" i="6"/>
  <c r="Y125" i="12"/>
  <c r="X125" i="12" s="1"/>
  <c r="AG131" i="5"/>
  <c r="S131" i="5"/>
  <c r="F131" i="12" s="1"/>
  <c r="AJ128" i="6"/>
  <c r="G128" i="12"/>
  <c r="X128" i="5"/>
  <c r="AI128" i="6"/>
  <c r="AK128" i="6"/>
  <c r="AD128" i="6"/>
  <c r="AB126" i="5"/>
  <c r="AA126" i="5"/>
  <c r="C126" i="6"/>
  <c r="O126" i="5"/>
  <c r="E125" i="6"/>
  <c r="D125" i="12"/>
  <c r="T124" i="12"/>
  <c r="U124" i="12"/>
  <c r="V124" i="12"/>
  <c r="G129" i="6"/>
  <c r="H129" i="6"/>
  <c r="T129" i="5" s="1"/>
  <c r="AE128" i="6"/>
  <c r="AF128" i="6"/>
  <c r="AG128" i="6"/>
  <c r="AH128" i="6"/>
  <c r="AC128" i="6"/>
  <c r="AB128" i="6"/>
  <c r="C126" i="12"/>
  <c r="AO126" i="12"/>
  <c r="O126" i="12"/>
  <c r="M126" i="12"/>
  <c r="K129" i="12"/>
  <c r="A129" i="6"/>
  <c r="L130" i="12"/>
  <c r="J130" i="12"/>
  <c r="F130" i="6"/>
  <c r="E130" i="12"/>
  <c r="N131" i="5"/>
  <c r="C132" i="5"/>
  <c r="AE131" i="5"/>
  <c r="W131" i="5"/>
  <c r="H131" i="12" s="1"/>
  <c r="H131" i="5"/>
  <c r="E131" i="5"/>
  <c r="R131" i="5"/>
  <c r="B131" i="6"/>
  <c r="K131" i="5"/>
  <c r="D131" i="5"/>
  <c r="B131" i="12" s="1"/>
  <c r="AD131" i="5"/>
  <c r="B131" i="5"/>
  <c r="G131" i="5"/>
  <c r="J131" i="5"/>
  <c r="A131" i="12"/>
  <c r="F131" i="5"/>
  <c r="D130" i="6"/>
  <c r="AM127" i="5"/>
  <c r="L127" i="5"/>
  <c r="I127" i="12"/>
  <c r="Z127" i="5"/>
  <c r="AC127" i="5"/>
  <c r="U123" i="12"/>
  <c r="V123" i="12"/>
  <c r="T123" i="12"/>
  <c r="AF132" i="5"/>
  <c r="W125" i="12" l="1"/>
  <c r="T125" i="12" s="1"/>
  <c r="N126" i="12"/>
  <c r="AG132" i="5"/>
  <c r="S132" i="5"/>
  <c r="F132" i="12" s="1"/>
  <c r="M129" i="6"/>
  <c r="AJ129" i="6" s="1"/>
  <c r="C127" i="6"/>
  <c r="O127" i="5"/>
  <c r="H130" i="6"/>
  <c r="T130" i="5" s="1"/>
  <c r="G130" i="6"/>
  <c r="L131" i="12"/>
  <c r="J131" i="12"/>
  <c r="F132" i="5"/>
  <c r="K132" i="5"/>
  <c r="D132" i="5"/>
  <c r="B132" i="12" s="1"/>
  <c r="H132" i="5"/>
  <c r="B132" i="5"/>
  <c r="C133" i="5"/>
  <c r="G132" i="5"/>
  <c r="N132" i="5"/>
  <c r="AD132" i="5"/>
  <c r="AE132" i="5"/>
  <c r="E132" i="5"/>
  <c r="W132" i="5"/>
  <c r="H132" i="12" s="1"/>
  <c r="A132" i="12"/>
  <c r="B132" i="6"/>
  <c r="R132" i="5"/>
  <c r="J132" i="5"/>
  <c r="K130" i="12"/>
  <c r="G129" i="12"/>
  <c r="X129" i="5"/>
  <c r="A130" i="6"/>
  <c r="I128" i="12"/>
  <c r="AM128" i="5"/>
  <c r="L128" i="5"/>
  <c r="Z128" i="5"/>
  <c r="AC128" i="5"/>
  <c r="AA127" i="5"/>
  <c r="AB127" i="5"/>
  <c r="C127" i="12"/>
  <c r="O127" i="12"/>
  <c r="AO127" i="12"/>
  <c r="M127" i="12"/>
  <c r="E131" i="12"/>
  <c r="F131" i="6"/>
  <c r="D131" i="6"/>
  <c r="Y126" i="12"/>
  <c r="E126" i="6"/>
  <c r="D126" i="12"/>
  <c r="AF133" i="5"/>
  <c r="V125" i="12" l="1"/>
  <c r="U125" i="12"/>
  <c r="AK129" i="6"/>
  <c r="AU129" i="6"/>
  <c r="AB129" i="6"/>
  <c r="AX129" i="6"/>
  <c r="AV129" i="6"/>
  <c r="BD129" i="6"/>
  <c r="AG129" i="6"/>
  <c r="BE129" i="6"/>
  <c r="A131" i="6"/>
  <c r="M131" i="6" s="1"/>
  <c r="AT129" i="6"/>
  <c r="AC129" i="6"/>
  <c r="AI129" i="6"/>
  <c r="AY129" i="6"/>
  <c r="AP129" i="6"/>
  <c r="AR129" i="6"/>
  <c r="AD129" i="6"/>
  <c r="AE129" i="6"/>
  <c r="AQ129" i="6"/>
  <c r="AG133" i="5"/>
  <c r="S133" i="5"/>
  <c r="F133" i="12" s="1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F132" i="6"/>
  <c r="E132" i="12"/>
  <c r="L132" i="12"/>
  <c r="J132" i="12"/>
  <c r="D132" i="6"/>
  <c r="D133" i="5"/>
  <c r="B133" i="12" s="1"/>
  <c r="B133" i="6"/>
  <c r="B133" i="5"/>
  <c r="AE133" i="5"/>
  <c r="G133" i="5"/>
  <c r="F133" i="5"/>
  <c r="K133" i="5"/>
  <c r="J133" i="5"/>
  <c r="E133" i="5"/>
  <c r="AD133" i="5"/>
  <c r="N133" i="5"/>
  <c r="R133" i="5"/>
  <c r="A133" i="12"/>
  <c r="W133" i="5"/>
  <c r="H133" i="12" s="1"/>
  <c r="H133" i="5"/>
  <c r="C134" i="5"/>
  <c r="D127" i="12"/>
  <c r="E127" i="6"/>
  <c r="G131" i="6"/>
  <c r="H131" i="6"/>
  <c r="T131" i="5" s="1"/>
  <c r="N127" i="12"/>
  <c r="L129" i="5"/>
  <c r="AM129" i="5"/>
  <c r="I129" i="12"/>
  <c r="Z129" i="5"/>
  <c r="AC129" i="5"/>
  <c r="K131" i="12"/>
  <c r="M130" i="6"/>
  <c r="G130" i="12"/>
  <c r="X130" i="5"/>
  <c r="AF134" i="5"/>
  <c r="W127" i="12" l="1"/>
  <c r="T127" i="12" s="1"/>
  <c r="AP131" i="6"/>
  <c r="BD131" i="6"/>
  <c r="A132" i="6"/>
  <c r="M132" i="6" s="1"/>
  <c r="BC132" i="6" s="1"/>
  <c r="BB131" i="6"/>
  <c r="AZ131" i="6"/>
  <c r="AO131" i="6"/>
  <c r="AT131" i="6"/>
  <c r="AM131" i="6"/>
  <c r="S134" i="5"/>
  <c r="F134" i="12" s="1"/>
  <c r="AG134" i="5"/>
  <c r="Y128" i="12"/>
  <c r="W128" i="12" s="1"/>
  <c r="AH131" i="6"/>
  <c r="AV131" i="6"/>
  <c r="AQ131" i="6"/>
  <c r="BE131" i="6"/>
  <c r="BF131" i="6"/>
  <c r="BG131" i="6"/>
  <c r="G131" i="12"/>
  <c r="X131" i="5"/>
  <c r="AK131" i="6"/>
  <c r="AD131" i="6"/>
  <c r="AE131" i="6"/>
  <c r="L133" i="12"/>
  <c r="J133" i="12"/>
  <c r="F133" i="6"/>
  <c r="E133" i="12"/>
  <c r="E128" i="6"/>
  <c r="D128" i="12"/>
  <c r="U126" i="12"/>
  <c r="V126" i="12"/>
  <c r="T126" i="12"/>
  <c r="L130" i="5"/>
  <c r="AM130" i="5"/>
  <c r="I130" i="12"/>
  <c r="Z130" i="5"/>
  <c r="AC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AB131" i="6"/>
  <c r="AI131" i="6"/>
  <c r="AX131" i="6"/>
  <c r="AN131" i="6"/>
  <c r="AC131" i="6"/>
  <c r="AR131" i="6"/>
  <c r="AS131" i="6"/>
  <c r="AJ131" i="6"/>
  <c r="AG131" i="6"/>
  <c r="AF131" i="6"/>
  <c r="AU131" i="6"/>
  <c r="BC131" i="6"/>
  <c r="AY131" i="6"/>
  <c r="BA131" i="6"/>
  <c r="E134" i="5"/>
  <c r="G134" i="5"/>
  <c r="J134" i="5"/>
  <c r="F134" i="5"/>
  <c r="W134" i="5"/>
  <c r="H134" i="12" s="1"/>
  <c r="R134" i="5"/>
  <c r="B134" i="5"/>
  <c r="A134" i="12"/>
  <c r="B134" i="6"/>
  <c r="K134" i="5"/>
  <c r="H134" i="5"/>
  <c r="AD134" i="5"/>
  <c r="N134" i="5"/>
  <c r="AE134" i="5"/>
  <c r="D134" i="5"/>
  <c r="B134" i="12" s="1"/>
  <c r="C135" i="5"/>
  <c r="D133" i="6"/>
  <c r="H132" i="6"/>
  <c r="T132" i="5" s="1"/>
  <c r="G132" i="6"/>
  <c r="K132" i="12"/>
  <c r="N128" i="12"/>
  <c r="U127" i="12"/>
  <c r="AF135" i="5"/>
  <c r="V127" i="12" l="1"/>
  <c r="X128" i="12"/>
  <c r="A133" i="6"/>
  <c r="M133" i="6" s="1"/>
  <c r="S135" i="5"/>
  <c r="F135" i="12" s="1"/>
  <c r="AG135" i="5"/>
  <c r="AH132" i="6"/>
  <c r="AT132" i="6"/>
  <c r="AB132" i="6"/>
  <c r="BB132" i="6"/>
  <c r="K133" i="12"/>
  <c r="AC132" i="6"/>
  <c r="BD132" i="6"/>
  <c r="AE132" i="6"/>
  <c r="BE132" i="6"/>
  <c r="AM132" i="6"/>
  <c r="BA132" i="6"/>
  <c r="AD132" i="6"/>
  <c r="AR132" i="6"/>
  <c r="AN132" i="6"/>
  <c r="AO132" i="6"/>
  <c r="AQ132" i="6"/>
  <c r="AI132" i="6"/>
  <c r="AJ132" i="6"/>
  <c r="AU132" i="6"/>
  <c r="AS132" i="6"/>
  <c r="N129" i="12"/>
  <c r="H133" i="6"/>
  <c r="T133" i="5" s="1"/>
  <c r="G133" i="6"/>
  <c r="AE135" i="5"/>
  <c r="F135" i="5"/>
  <c r="H135" i="5"/>
  <c r="AD135" i="5"/>
  <c r="W135" i="5"/>
  <c r="H135" i="12" s="1"/>
  <c r="D135" i="5"/>
  <c r="B135" i="12" s="1"/>
  <c r="J135" i="5"/>
  <c r="B135" i="5"/>
  <c r="N135" i="5"/>
  <c r="B135" i="6"/>
  <c r="G135" i="5"/>
  <c r="R135" i="5"/>
  <c r="C136" i="5"/>
  <c r="E135" i="5"/>
  <c r="A135" i="12"/>
  <c r="K135" i="5"/>
  <c r="J134" i="12"/>
  <c r="L134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AC131" i="5"/>
  <c r="AK132" i="6"/>
  <c r="BG132" i="6"/>
  <c r="BF132" i="6"/>
  <c r="AY132" i="6"/>
  <c r="AG132" i="6"/>
  <c r="AF132" i="6"/>
  <c r="AV132" i="6"/>
  <c r="AX132" i="6"/>
  <c r="AZ132" i="6"/>
  <c r="AP132" i="6"/>
  <c r="G132" i="12"/>
  <c r="X132" i="5"/>
  <c r="D134" i="6"/>
  <c r="F134" i="6"/>
  <c r="E134" i="12"/>
  <c r="E129" i="6"/>
  <c r="D129" i="12"/>
  <c r="Y129" i="12"/>
  <c r="AF136" i="5"/>
  <c r="A134" i="6" l="1"/>
  <c r="M134" i="6" s="1"/>
  <c r="AV134" i="6" s="1"/>
  <c r="N130" i="12"/>
  <c r="AC133" i="6"/>
  <c r="K134" i="12"/>
  <c r="BD133" i="6"/>
  <c r="S136" i="5"/>
  <c r="F136" i="12" s="1"/>
  <c r="AG136" i="5"/>
  <c r="AU133" i="6"/>
  <c r="AZ133" i="6"/>
  <c r="AR133" i="6"/>
  <c r="AS133" i="6"/>
  <c r="AJ133" i="6"/>
  <c r="Y130" i="12"/>
  <c r="W130" i="12" s="1"/>
  <c r="BG133" i="6"/>
  <c r="AK133" i="6"/>
  <c r="BE133" i="6"/>
  <c r="AH133" i="6"/>
  <c r="AQ133" i="6"/>
  <c r="AN133" i="6"/>
  <c r="BC133" i="6"/>
  <c r="AE133" i="6"/>
  <c r="W129" i="12"/>
  <c r="X129" i="12"/>
  <c r="L132" i="5"/>
  <c r="AM132" i="5"/>
  <c r="I132" i="12"/>
  <c r="Z132" i="5"/>
  <c r="AC132" i="5"/>
  <c r="AB131" i="5"/>
  <c r="AA131" i="5"/>
  <c r="C131" i="6"/>
  <c r="O131" i="5"/>
  <c r="L135" i="12"/>
  <c r="J135" i="12"/>
  <c r="F135" i="6"/>
  <c r="E135" i="12"/>
  <c r="H134" i="6"/>
  <c r="T134" i="5" s="1"/>
  <c r="G134" i="6"/>
  <c r="C131" i="12"/>
  <c r="AO131" i="12"/>
  <c r="O131" i="12"/>
  <c r="M131" i="12"/>
  <c r="E130" i="6"/>
  <c r="D130" i="12"/>
  <c r="B136" i="5"/>
  <c r="K136" i="5"/>
  <c r="W136" i="5"/>
  <c r="H136" i="12" s="1"/>
  <c r="D136" i="5"/>
  <c r="B136" i="12" s="1"/>
  <c r="J136" i="5"/>
  <c r="H136" i="5"/>
  <c r="R136" i="5"/>
  <c r="F136" i="5"/>
  <c r="A136" i="12"/>
  <c r="AE136" i="5"/>
  <c r="C137" i="5"/>
  <c r="B136" i="6"/>
  <c r="N136" i="5"/>
  <c r="G136" i="5"/>
  <c r="E136" i="5"/>
  <c r="AD136" i="5"/>
  <c r="D135" i="6"/>
  <c r="BF133" i="6"/>
  <c r="AM133" i="6"/>
  <c r="AB133" i="6"/>
  <c r="AD133" i="6"/>
  <c r="AX133" i="6"/>
  <c r="AY133" i="6"/>
  <c r="AO133" i="6"/>
  <c r="AG133" i="6"/>
  <c r="AF133" i="6"/>
  <c r="AT133" i="6"/>
  <c r="BB133" i="6"/>
  <c r="AV133" i="6"/>
  <c r="BA133" i="6"/>
  <c r="AP133" i="6"/>
  <c r="AI133" i="6"/>
  <c r="G133" i="12"/>
  <c r="X133" i="5"/>
  <c r="AF137" i="5"/>
  <c r="X130" i="12" l="1"/>
  <c r="S137" i="5"/>
  <c r="F137" i="12" s="1"/>
  <c r="AG137" i="5"/>
  <c r="AN134" i="6"/>
  <c r="AH134" i="6"/>
  <c r="AT134" i="6"/>
  <c r="AR134" i="6"/>
  <c r="BD134" i="6"/>
  <c r="AI134" i="6"/>
  <c r="BC134" i="6"/>
  <c r="AX134" i="6"/>
  <c r="BB134" i="6"/>
  <c r="Y131" i="12"/>
  <c r="X131" i="12" s="1"/>
  <c r="AE134" i="6"/>
  <c r="AK134" i="6"/>
  <c r="AZ134" i="6"/>
  <c r="BA134" i="6"/>
  <c r="AJ134" i="6"/>
  <c r="AS134" i="6"/>
  <c r="AF134" i="6"/>
  <c r="AU134" i="6"/>
  <c r="AP134" i="6"/>
  <c r="G135" i="6"/>
  <c r="H135" i="6"/>
  <c r="T135" i="5" s="1"/>
  <c r="H137" i="5"/>
  <c r="G137" i="5"/>
  <c r="A137" i="12"/>
  <c r="B137" i="5"/>
  <c r="D137" i="5"/>
  <c r="B137" i="12" s="1"/>
  <c r="J137" i="5"/>
  <c r="W137" i="5"/>
  <c r="H137" i="12" s="1"/>
  <c r="B137" i="6"/>
  <c r="R137" i="5"/>
  <c r="N137" i="5"/>
  <c r="AD137" i="5"/>
  <c r="E137" i="5"/>
  <c r="C138" i="5"/>
  <c r="AE137" i="5"/>
  <c r="F137" i="5"/>
  <c r="K137" i="5"/>
  <c r="A135" i="6"/>
  <c r="D131" i="12"/>
  <c r="E131" i="6"/>
  <c r="I133" i="12"/>
  <c r="AM133" i="5"/>
  <c r="L133" i="5"/>
  <c r="Z133" i="5"/>
  <c r="AC133" i="5"/>
  <c r="D136" i="6"/>
  <c r="J136" i="12"/>
  <c r="L136" i="12"/>
  <c r="E136" i="12"/>
  <c r="F136" i="6"/>
  <c r="N131" i="12"/>
  <c r="AC134" i="6"/>
  <c r="AM134" i="6"/>
  <c r="AQ134" i="6"/>
  <c r="BE134" i="6"/>
  <c r="AB134" i="6"/>
  <c r="AD134" i="6"/>
  <c r="AG134" i="6"/>
  <c r="BF134" i="6"/>
  <c r="AO134" i="6"/>
  <c r="AY134" i="6"/>
  <c r="BG134" i="6"/>
  <c r="G134" i="12"/>
  <c r="X134" i="5"/>
  <c r="K135" i="12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AF138" i="5"/>
  <c r="W131" i="12" l="1"/>
  <c r="V131" i="12" s="1"/>
  <c r="N132" i="12"/>
  <c r="A136" i="6"/>
  <c r="AG138" i="5"/>
  <c r="S138" i="5"/>
  <c r="F138" i="12" s="1"/>
  <c r="Y132" i="12"/>
  <c r="W132" i="12" s="1"/>
  <c r="K136" i="12"/>
  <c r="G136" i="6"/>
  <c r="H136" i="6"/>
  <c r="T136" i="5" s="1"/>
  <c r="AA133" i="5"/>
  <c r="AB133" i="5"/>
  <c r="C133" i="6"/>
  <c r="O133" i="5"/>
  <c r="C133" i="12"/>
  <c r="AO133" i="12"/>
  <c r="O133" i="12"/>
  <c r="M133" i="12"/>
  <c r="R138" i="5"/>
  <c r="AE138" i="5"/>
  <c r="F138" i="5"/>
  <c r="B138" i="6"/>
  <c r="A138" i="12"/>
  <c r="B138" i="5"/>
  <c r="C139" i="5"/>
  <c r="W138" i="5"/>
  <c r="H138" i="12" s="1"/>
  <c r="E138" i="5"/>
  <c r="G138" i="5"/>
  <c r="H138" i="5"/>
  <c r="AD138" i="5"/>
  <c r="D138" i="5"/>
  <c r="B138" i="12" s="1"/>
  <c r="K138" i="5"/>
  <c r="J138" i="5"/>
  <c r="N138" i="5"/>
  <c r="E132" i="6"/>
  <c r="D132" i="12"/>
  <c r="AM134" i="5"/>
  <c r="L134" i="5"/>
  <c r="I134" i="12"/>
  <c r="Z134" i="5"/>
  <c r="AC134" i="5"/>
  <c r="D137" i="6"/>
  <c r="E137" i="12"/>
  <c r="F137" i="6"/>
  <c r="L137" i="12"/>
  <c r="J137" i="12"/>
  <c r="M135" i="6"/>
  <c r="AB135" i="6" s="1"/>
  <c r="G135" i="12"/>
  <c r="X135" i="5"/>
  <c r="AF139" i="5"/>
  <c r="T131" i="12" l="1"/>
  <c r="U131" i="12"/>
  <c r="M136" i="6"/>
  <c r="AU136" i="6" s="1"/>
  <c r="X132" i="12"/>
  <c r="AG139" i="5"/>
  <c r="S139" i="5"/>
  <c r="F139" i="12" s="1"/>
  <c r="Y133" i="12"/>
  <c r="X133" i="12" s="1"/>
  <c r="L135" i="5"/>
  <c r="I135" i="12"/>
  <c r="AM135" i="5"/>
  <c r="Z135" i="5"/>
  <c r="AC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K137" i="12"/>
  <c r="H137" i="6"/>
  <c r="T137" i="5" s="1"/>
  <c r="G137" i="6"/>
  <c r="C134" i="6"/>
  <c r="O134" i="5"/>
  <c r="A137" i="6"/>
  <c r="D138" i="6"/>
  <c r="AE139" i="5"/>
  <c r="B139" i="6"/>
  <c r="F139" i="5"/>
  <c r="AD139" i="5"/>
  <c r="R139" i="5"/>
  <c r="H139" i="5"/>
  <c r="C140" i="5"/>
  <c r="D139" i="5"/>
  <c r="B139" i="12" s="1"/>
  <c r="A139" i="12"/>
  <c r="K139" i="5"/>
  <c r="E139" i="5"/>
  <c r="G139" i="5"/>
  <c r="J139" i="5"/>
  <c r="W139" i="5"/>
  <c r="H139" i="12" s="1"/>
  <c r="B139" i="5"/>
  <c r="N139" i="5"/>
  <c r="L138" i="12"/>
  <c r="J138" i="12"/>
  <c r="F138" i="6"/>
  <c r="E138" i="12"/>
  <c r="N133" i="12"/>
  <c r="AF140" i="5"/>
  <c r="AJ136" i="6" l="1"/>
  <c r="AT136" i="6"/>
  <c r="BD136" i="6"/>
  <c r="BC136" i="6"/>
  <c r="AM136" i="6"/>
  <c r="AK136" i="6"/>
  <c r="AD136" i="6"/>
  <c r="AG136" i="6"/>
  <c r="AC136" i="6"/>
  <c r="BE136" i="6"/>
  <c r="AB136" i="6"/>
  <c r="AN136" i="6"/>
  <c r="AS136" i="6"/>
  <c r="AE136" i="6"/>
  <c r="AF136" i="6"/>
  <c r="AI136" i="6"/>
  <c r="BA136" i="6"/>
  <c r="AZ136" i="6"/>
  <c r="AH136" i="6"/>
  <c r="BF136" i="6"/>
  <c r="AP136" i="6"/>
  <c r="AO136" i="6"/>
  <c r="AX136" i="6"/>
  <c r="BG136" i="6"/>
  <c r="AY136" i="6"/>
  <c r="BB136" i="6"/>
  <c r="AQ136" i="6"/>
  <c r="AV136" i="6"/>
  <c r="AR136" i="6"/>
  <c r="W133" i="12"/>
  <c r="V133" i="12" s="1"/>
  <c r="S140" i="5"/>
  <c r="F140" i="12" s="1"/>
  <c r="AG140" i="5"/>
  <c r="A138" i="6"/>
  <c r="D139" i="6"/>
  <c r="J139" i="12"/>
  <c r="L139" i="12"/>
  <c r="M137" i="6"/>
  <c r="N134" i="12"/>
  <c r="C135" i="12"/>
  <c r="O135" i="12"/>
  <c r="M135" i="12"/>
  <c r="AO135" i="12"/>
  <c r="K138" i="12"/>
  <c r="B140" i="5"/>
  <c r="A140" i="12"/>
  <c r="AE140" i="5"/>
  <c r="B140" i="6"/>
  <c r="F140" i="5"/>
  <c r="R140" i="5"/>
  <c r="K140" i="5"/>
  <c r="N140" i="5"/>
  <c r="AD140" i="5"/>
  <c r="W140" i="5"/>
  <c r="H140" i="12" s="1"/>
  <c r="G140" i="5"/>
  <c r="J140" i="5"/>
  <c r="D140" i="5"/>
  <c r="B140" i="12" s="1"/>
  <c r="H140" i="5"/>
  <c r="C141" i="5"/>
  <c r="E140" i="5"/>
  <c r="E139" i="12"/>
  <c r="F139" i="6"/>
  <c r="G138" i="6"/>
  <c r="H138" i="6"/>
  <c r="T138" i="5" s="1"/>
  <c r="D134" i="12"/>
  <c r="E134" i="6"/>
  <c r="G137" i="12"/>
  <c r="X137" i="5"/>
  <c r="AM136" i="5"/>
  <c r="I136" i="12"/>
  <c r="L136" i="5"/>
  <c r="Z136" i="5"/>
  <c r="AC136" i="5"/>
  <c r="Y134" i="12"/>
  <c r="AB135" i="5"/>
  <c r="AA135" i="5"/>
  <c r="C135" i="6"/>
  <c r="O135" i="5"/>
  <c r="AF141" i="5"/>
  <c r="T133" i="12" l="1"/>
  <c r="Y135" i="12"/>
  <c r="X135" i="12" s="1"/>
  <c r="U133" i="12"/>
  <c r="M138" i="6"/>
  <c r="AP138" i="6" s="1"/>
  <c r="K139" i="12"/>
  <c r="AG141" i="5"/>
  <c r="S141" i="5"/>
  <c r="F141" i="12" s="1"/>
  <c r="A139" i="6"/>
  <c r="D135" i="12"/>
  <c r="E135" i="6"/>
  <c r="X134" i="12"/>
  <c r="W134" i="12"/>
  <c r="C136" i="6"/>
  <c r="O136" i="5"/>
  <c r="B141" i="6"/>
  <c r="C142" i="5"/>
  <c r="K141" i="5"/>
  <c r="G141" i="5"/>
  <c r="R141" i="5"/>
  <c r="B141" i="5"/>
  <c r="D141" i="5"/>
  <c r="B141" i="12" s="1"/>
  <c r="A141" i="12"/>
  <c r="N141" i="5"/>
  <c r="J141" i="5"/>
  <c r="F141" i="5"/>
  <c r="AD141" i="5"/>
  <c r="E141" i="5"/>
  <c r="AE141" i="5"/>
  <c r="H141" i="5"/>
  <c r="W141" i="5"/>
  <c r="H141" i="12" s="1"/>
  <c r="E140" i="12"/>
  <c r="F140" i="6"/>
  <c r="J140" i="12"/>
  <c r="L140" i="12"/>
  <c r="AB136" i="5"/>
  <c r="AA136" i="5"/>
  <c r="C136" i="12"/>
  <c r="O136" i="12"/>
  <c r="M136" i="12"/>
  <c r="AO136" i="12"/>
  <c r="AM137" i="5"/>
  <c r="I137" i="12"/>
  <c r="L137" i="5"/>
  <c r="Z137" i="5"/>
  <c r="AC137" i="5"/>
  <c r="G138" i="12"/>
  <c r="X138" i="5"/>
  <c r="D140" i="6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G139" i="6"/>
  <c r="H139" i="6"/>
  <c r="T139" i="5" s="1"/>
  <c r="AF142" i="5"/>
  <c r="W135" i="12" l="1"/>
  <c r="V135" i="12" s="1"/>
  <c r="BC138" i="6"/>
  <c r="Y136" i="12"/>
  <c r="W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M139" i="6"/>
  <c r="BB139" i="6" s="1"/>
  <c r="AE138" i="6"/>
  <c r="AS138" i="6"/>
  <c r="AM138" i="6"/>
  <c r="BE138" i="6"/>
  <c r="AR138" i="6"/>
  <c r="AD138" i="6"/>
  <c r="BD138" i="6"/>
  <c r="AC138" i="6"/>
  <c r="AJ138" i="6"/>
  <c r="N136" i="12"/>
  <c r="K140" i="12"/>
  <c r="S142" i="5"/>
  <c r="F142" i="12" s="1"/>
  <c r="AG142" i="5"/>
  <c r="G139" i="12"/>
  <c r="X139" i="5"/>
  <c r="U135" i="12"/>
  <c r="L138" i="5"/>
  <c r="I138" i="12"/>
  <c r="AM138" i="5"/>
  <c r="Z138" i="5"/>
  <c r="AC138" i="5"/>
  <c r="C137" i="12"/>
  <c r="O137" i="12"/>
  <c r="AO137" i="12"/>
  <c r="M137" i="12"/>
  <c r="L141" i="12"/>
  <c r="J141" i="12"/>
  <c r="D142" i="5"/>
  <c r="B142" i="12" s="1"/>
  <c r="K142" i="5"/>
  <c r="N142" i="5"/>
  <c r="B142" i="6"/>
  <c r="AD142" i="5"/>
  <c r="H142" i="5"/>
  <c r="R142" i="5"/>
  <c r="F142" i="5"/>
  <c r="B142" i="5"/>
  <c r="W142" i="5"/>
  <c r="H142" i="12" s="1"/>
  <c r="C143" i="5"/>
  <c r="A142" i="12"/>
  <c r="G142" i="5"/>
  <c r="AE142" i="5"/>
  <c r="J142" i="5"/>
  <c r="E142" i="5"/>
  <c r="D136" i="12"/>
  <c r="E136" i="6"/>
  <c r="U134" i="12"/>
  <c r="V134" i="12"/>
  <c r="T134" i="12"/>
  <c r="H140" i="6"/>
  <c r="T140" i="5" s="1"/>
  <c r="G140" i="6"/>
  <c r="AB137" i="5"/>
  <c r="AA137" i="5"/>
  <c r="C137" i="6"/>
  <c r="O137" i="5"/>
  <c r="A140" i="6"/>
  <c r="D141" i="6"/>
  <c r="E141" i="12"/>
  <c r="F141" i="6"/>
  <c r="AF143" i="5"/>
  <c r="X136" i="12" l="1"/>
  <c r="T135" i="12"/>
  <c r="BC139" i="6"/>
  <c r="AS139" i="6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A141" i="6"/>
  <c r="AG143" i="5"/>
  <c r="S143" i="5"/>
  <c r="F143" i="12" s="1"/>
  <c r="K141" i="12"/>
  <c r="Y137" i="12"/>
  <c r="W137" i="12" s="1"/>
  <c r="G141" i="6"/>
  <c r="H141" i="6"/>
  <c r="T141" i="5" s="1"/>
  <c r="E137" i="6"/>
  <c r="D137" i="12"/>
  <c r="G140" i="12"/>
  <c r="X140" i="5"/>
  <c r="L142" i="12"/>
  <c r="J142" i="12"/>
  <c r="AA138" i="5"/>
  <c r="AB138" i="5"/>
  <c r="C138" i="6"/>
  <c r="O138" i="5"/>
  <c r="AM139" i="5"/>
  <c r="L139" i="5"/>
  <c r="I139" i="12"/>
  <c r="Z139" i="5"/>
  <c r="AC139" i="5"/>
  <c r="M140" i="6"/>
  <c r="N143" i="5"/>
  <c r="B143" i="5"/>
  <c r="R143" i="5"/>
  <c r="A143" i="12"/>
  <c r="E143" i="5"/>
  <c r="AD143" i="5"/>
  <c r="G143" i="5"/>
  <c r="D143" i="5"/>
  <c r="B143" i="12" s="1"/>
  <c r="C144" i="5"/>
  <c r="K143" i="5"/>
  <c r="H143" i="5"/>
  <c r="J143" i="5"/>
  <c r="B143" i="6"/>
  <c r="AE143" i="5"/>
  <c r="W143" i="5"/>
  <c r="H143" i="12" s="1"/>
  <c r="F143" i="5"/>
  <c r="E142" i="12"/>
  <c r="F142" i="6"/>
  <c r="D142" i="6"/>
  <c r="T136" i="12"/>
  <c r="U136" i="12"/>
  <c r="V136" i="12"/>
  <c r="N137" i="12"/>
  <c r="C138" i="12"/>
  <c r="M138" i="12"/>
  <c r="O138" i="12"/>
  <c r="AO138" i="12"/>
  <c r="AF144" i="5"/>
  <c r="X137" i="12" l="1"/>
  <c r="M141" i="6"/>
  <c r="AU141" i="6" s="1"/>
  <c r="A142" i="6"/>
  <c r="S144" i="5"/>
  <c r="F144" i="12" s="1"/>
  <c r="AG144" i="5"/>
  <c r="N138" i="12"/>
  <c r="AE144" i="5"/>
  <c r="C145" i="5"/>
  <c r="E144" i="5"/>
  <c r="R144" i="5"/>
  <c r="W144" i="5"/>
  <c r="H144" i="12" s="1"/>
  <c r="A144" i="12"/>
  <c r="G144" i="5"/>
  <c r="K144" i="5"/>
  <c r="AD144" i="5"/>
  <c r="D144" i="5"/>
  <c r="B144" i="12" s="1"/>
  <c r="B144" i="5"/>
  <c r="N144" i="5"/>
  <c r="B144" i="6"/>
  <c r="F144" i="5"/>
  <c r="J144" i="5"/>
  <c r="H144" i="5"/>
  <c r="F143" i="6"/>
  <c r="E143" i="12"/>
  <c r="D143" i="6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AC140" i="5"/>
  <c r="Y138" i="12"/>
  <c r="H142" i="6"/>
  <c r="T142" i="5" s="1"/>
  <c r="G142" i="6"/>
  <c r="L143" i="12"/>
  <c r="J143" i="12"/>
  <c r="AD140" i="6"/>
  <c r="AG140" i="6"/>
  <c r="AC140" i="6"/>
  <c r="C139" i="12"/>
  <c r="O139" i="12"/>
  <c r="AO139" i="12"/>
  <c r="M139" i="12"/>
  <c r="K142" i="12"/>
  <c r="G141" i="12"/>
  <c r="X141" i="5"/>
  <c r="AF145" i="5"/>
  <c r="AG141" i="6" l="1"/>
  <c r="BC141" i="6"/>
  <c r="AP141" i="6"/>
  <c r="AD141" i="6"/>
  <c r="AO141" i="6"/>
  <c r="AT141" i="6"/>
  <c r="AC141" i="6"/>
  <c r="AY141" i="6"/>
  <c r="AJ141" i="6"/>
  <c r="AE141" i="6"/>
  <c r="BD141" i="6"/>
  <c r="AV141" i="6"/>
  <c r="AR141" i="6"/>
  <c r="AI141" i="6"/>
  <c r="M142" i="6"/>
  <c r="AQ142" i="6" s="1"/>
  <c r="AB141" i="6"/>
  <c r="BG141" i="6"/>
  <c r="AZ141" i="6"/>
  <c r="AF141" i="6"/>
  <c r="BE141" i="6"/>
  <c r="BF141" i="6"/>
  <c r="AX141" i="6"/>
  <c r="BA141" i="6"/>
  <c r="A143" i="6"/>
  <c r="AS141" i="6"/>
  <c r="BB141" i="6"/>
  <c r="AQ141" i="6"/>
  <c r="AM141" i="6"/>
  <c r="AK141" i="6"/>
  <c r="AH141" i="6"/>
  <c r="AN141" i="6"/>
  <c r="AG145" i="5"/>
  <c r="S145" i="5"/>
  <c r="F145" i="12" s="1"/>
  <c r="N139" i="12"/>
  <c r="G142" i="12"/>
  <c r="X142" i="5"/>
  <c r="G143" i="6"/>
  <c r="H143" i="6"/>
  <c r="T143" i="5" s="1"/>
  <c r="D144" i="6"/>
  <c r="J144" i="12"/>
  <c r="L144" i="12"/>
  <c r="E144" i="12"/>
  <c r="F144" i="6"/>
  <c r="A145" i="12"/>
  <c r="G145" i="5"/>
  <c r="H145" i="5"/>
  <c r="F145" i="5"/>
  <c r="AE145" i="5"/>
  <c r="J145" i="5"/>
  <c r="N145" i="5"/>
  <c r="B145" i="6"/>
  <c r="D145" i="5"/>
  <c r="B145" i="12" s="1"/>
  <c r="E145" i="5"/>
  <c r="W145" i="5"/>
  <c r="H145" i="12" s="1"/>
  <c r="R145" i="5"/>
  <c r="C146" i="5"/>
  <c r="B145" i="5"/>
  <c r="K145" i="5"/>
  <c r="AD145" i="5"/>
  <c r="L141" i="5"/>
  <c r="I141" i="12"/>
  <c r="AM141" i="5"/>
  <c r="Z141" i="5"/>
  <c r="AC141" i="5"/>
  <c r="Y139" i="12"/>
  <c r="K143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F146" i="5"/>
  <c r="BA142" i="6" l="1"/>
  <c r="AI142" i="6"/>
  <c r="AP142" i="6"/>
  <c r="BG142" i="6"/>
  <c r="AR142" i="6"/>
  <c r="AC142" i="6"/>
  <c r="AJ142" i="6"/>
  <c r="AN142" i="6"/>
  <c r="AH142" i="6"/>
  <c r="AV142" i="6"/>
  <c r="AU142" i="6"/>
  <c r="AD142" i="6"/>
  <c r="BD142" i="6"/>
  <c r="AX142" i="6"/>
  <c r="BF142" i="6"/>
  <c r="BE142" i="6"/>
  <c r="AK142" i="6"/>
  <c r="AG142" i="6"/>
  <c r="AO142" i="6"/>
  <c r="AM142" i="6"/>
  <c r="AF142" i="6"/>
  <c r="AB142" i="6"/>
  <c r="BB142" i="6"/>
  <c r="AT142" i="6"/>
  <c r="BC142" i="6"/>
  <c r="AE142" i="6"/>
  <c r="AY142" i="6"/>
  <c r="AS142" i="6"/>
  <c r="AZ142" i="6"/>
  <c r="M143" i="6"/>
  <c r="BD143" i="6" s="1"/>
  <c r="A144" i="6"/>
  <c r="M144" i="6" s="1"/>
  <c r="AZ144" i="6" s="1"/>
  <c r="Y140" i="12"/>
  <c r="X140" i="12" s="1"/>
  <c r="AG146" i="5"/>
  <c r="S146" i="5"/>
  <c r="F146" i="12" s="1"/>
  <c r="V138" i="12"/>
  <c r="U138" i="12"/>
  <c r="T138" i="12"/>
  <c r="C141" i="12"/>
  <c r="AO141" i="12"/>
  <c r="M141" i="12"/>
  <c r="O141" i="12"/>
  <c r="F145" i="6"/>
  <c r="E145" i="12"/>
  <c r="G144" i="6"/>
  <c r="H144" i="6"/>
  <c r="T144" i="5" s="1"/>
  <c r="N140" i="12"/>
  <c r="D140" i="12"/>
  <c r="E140" i="6"/>
  <c r="X139" i="12"/>
  <c r="W139" i="12"/>
  <c r="AB141" i="5"/>
  <c r="AA141" i="5"/>
  <c r="C141" i="6"/>
  <c r="O141" i="5"/>
  <c r="B146" i="6"/>
  <c r="W146" i="5"/>
  <c r="H146" i="12" s="1"/>
  <c r="J146" i="5"/>
  <c r="C147" i="5"/>
  <c r="R146" i="5"/>
  <c r="E146" i="5"/>
  <c r="AD146" i="5"/>
  <c r="D146" i="5"/>
  <c r="B146" i="12" s="1"/>
  <c r="A146" i="12"/>
  <c r="B146" i="5"/>
  <c r="F146" i="5"/>
  <c r="K146" i="5"/>
  <c r="H146" i="5"/>
  <c r="AE146" i="5"/>
  <c r="G146" i="5"/>
  <c r="N146" i="5"/>
  <c r="D145" i="6"/>
  <c r="J145" i="12"/>
  <c r="L145" i="12"/>
  <c r="K144" i="12"/>
  <c r="G143" i="12"/>
  <c r="X143" i="5"/>
  <c r="AM142" i="5"/>
  <c r="L142" i="5"/>
  <c r="I142" i="12"/>
  <c r="Z142" i="5"/>
  <c r="AC142" i="5"/>
  <c r="AF147" i="5"/>
  <c r="AS143" i="6" l="1"/>
  <c r="AI143" i="6"/>
  <c r="BC143" i="6"/>
  <c r="W140" i="12"/>
  <c r="U140" i="12" s="1"/>
  <c r="AJ143" i="6"/>
  <c r="BF143" i="6"/>
  <c r="BA143" i="6"/>
  <c r="BB143" i="6"/>
  <c r="AQ143" i="6"/>
  <c r="AG143" i="6"/>
  <c r="AR143" i="6"/>
  <c r="BE143" i="6"/>
  <c r="AO143" i="6"/>
  <c r="AT143" i="6"/>
  <c r="AD143" i="6"/>
  <c r="AH143" i="6"/>
  <c r="AC143" i="6"/>
  <c r="AE143" i="6"/>
  <c r="BG143" i="6"/>
  <c r="AU143" i="6"/>
  <c r="AM143" i="6"/>
  <c r="AK143" i="6"/>
  <c r="AF143" i="6"/>
  <c r="AB143" i="6"/>
  <c r="AX143" i="6"/>
  <c r="AY143" i="6"/>
  <c r="AP143" i="6"/>
  <c r="AZ143" i="6"/>
  <c r="AV143" i="6"/>
  <c r="AN143" i="6"/>
  <c r="AS144" i="6"/>
  <c r="AF144" i="6"/>
  <c r="AG147" i="5"/>
  <c r="S147" i="5"/>
  <c r="F147" i="12" s="1"/>
  <c r="AY144" i="6"/>
  <c r="C142" i="6"/>
  <c r="O142" i="5"/>
  <c r="AM143" i="5"/>
  <c r="I143" i="12"/>
  <c r="L143" i="5"/>
  <c r="Z143" i="5"/>
  <c r="AC143" i="5"/>
  <c r="D146" i="6"/>
  <c r="W147" i="5"/>
  <c r="H147" i="12" s="1"/>
  <c r="B147" i="5"/>
  <c r="F147" i="5"/>
  <c r="D147" i="5"/>
  <c r="B147" i="12" s="1"/>
  <c r="AE147" i="5"/>
  <c r="J147" i="5"/>
  <c r="AD147" i="5"/>
  <c r="C148" i="5"/>
  <c r="N147" i="5"/>
  <c r="G147" i="5"/>
  <c r="E147" i="5"/>
  <c r="A147" i="12"/>
  <c r="R147" i="5"/>
  <c r="B147" i="6"/>
  <c r="H147" i="5"/>
  <c r="K147" i="5"/>
  <c r="E141" i="6"/>
  <c r="D141" i="12"/>
  <c r="V139" i="12"/>
  <c r="U139" i="12"/>
  <c r="T139" i="12"/>
  <c r="AJ144" i="6"/>
  <c r="AM144" i="6"/>
  <c r="BC144" i="6"/>
  <c r="AT144" i="6"/>
  <c r="AB144" i="6"/>
  <c r="AC144" i="6"/>
  <c r="AH144" i="6"/>
  <c r="AO144" i="6"/>
  <c r="BB144" i="6"/>
  <c r="BE144" i="6"/>
  <c r="AV144" i="6"/>
  <c r="AG144" i="6"/>
  <c r="AA142" i="5"/>
  <c r="AB142" i="5"/>
  <c r="C142" i="12"/>
  <c r="M142" i="12"/>
  <c r="O142" i="12"/>
  <c r="AO142" i="12"/>
  <c r="K145" i="12"/>
  <c r="G145" i="6"/>
  <c r="H145" i="6"/>
  <c r="T145" i="5" s="1"/>
  <c r="A145" i="6"/>
  <c r="L146" i="12"/>
  <c r="J146" i="12"/>
  <c r="E146" i="12"/>
  <c r="F146" i="6"/>
  <c r="AI144" i="6"/>
  <c r="AX144" i="6"/>
  <c r="BF144" i="6"/>
  <c r="AE144" i="6"/>
  <c r="AU144" i="6"/>
  <c r="AP144" i="6"/>
  <c r="BD144" i="6"/>
  <c r="G144" i="12"/>
  <c r="X144" i="5"/>
  <c r="AD144" i="6"/>
  <c r="AK144" i="6"/>
  <c r="BG144" i="6"/>
  <c r="AN144" i="6"/>
  <c r="AQ144" i="6"/>
  <c r="BA144" i="6"/>
  <c r="AR144" i="6"/>
  <c r="N141" i="12"/>
  <c r="Y141" i="12"/>
  <c r="AF148" i="5"/>
  <c r="T140" i="12" l="1"/>
  <c r="V140" i="12"/>
  <c r="S148" i="5"/>
  <c r="F148" i="12" s="1"/>
  <c r="AG148" i="5"/>
  <c r="A146" i="6"/>
  <c r="M146" i="6" s="1"/>
  <c r="AZ146" i="6" s="1"/>
  <c r="N142" i="12"/>
  <c r="M145" i="6"/>
  <c r="AC145" i="6" s="1"/>
  <c r="W141" i="12"/>
  <c r="X141" i="12"/>
  <c r="K146" i="12"/>
  <c r="G145" i="12"/>
  <c r="X145" i="5"/>
  <c r="E147" i="12"/>
  <c r="F147" i="6"/>
  <c r="B148" i="5"/>
  <c r="K148" i="5"/>
  <c r="D148" i="5"/>
  <c r="B148" i="12" s="1"/>
  <c r="B148" i="6"/>
  <c r="C149" i="5"/>
  <c r="H148" i="5"/>
  <c r="R148" i="5"/>
  <c r="N148" i="5"/>
  <c r="E148" i="5"/>
  <c r="AD148" i="5"/>
  <c r="A148" i="12"/>
  <c r="W148" i="5"/>
  <c r="H148" i="12" s="1"/>
  <c r="F148" i="5"/>
  <c r="G148" i="5"/>
  <c r="J148" i="5"/>
  <c r="AE148" i="5"/>
  <c r="C143" i="12"/>
  <c r="M143" i="12"/>
  <c r="AO143" i="12"/>
  <c r="O143" i="12"/>
  <c r="E142" i="6"/>
  <c r="D142" i="12"/>
  <c r="L144" i="5"/>
  <c r="AM144" i="5"/>
  <c r="I144" i="12"/>
  <c r="Z144" i="5"/>
  <c r="AC144" i="5"/>
  <c r="Y142" i="12"/>
  <c r="L147" i="12"/>
  <c r="J147" i="12"/>
  <c r="D147" i="6"/>
  <c r="H146" i="6"/>
  <c r="T146" i="5" s="1"/>
  <c r="G146" i="6"/>
  <c r="AB143" i="5"/>
  <c r="AA143" i="5"/>
  <c r="C143" i="6"/>
  <c r="O143" i="5"/>
  <c r="AF149" i="5"/>
  <c r="N143" i="12" l="1"/>
  <c r="AF145" i="6"/>
  <c r="BE146" i="6"/>
  <c r="BD146" i="6"/>
  <c r="AN146" i="6"/>
  <c r="AV146" i="6"/>
  <c r="AQ146" i="6"/>
  <c r="AX146" i="6"/>
  <c r="BF146" i="6"/>
  <c r="AZ145" i="6"/>
  <c r="AX145" i="6"/>
  <c r="BB145" i="6"/>
  <c r="AU145" i="6"/>
  <c r="AK145" i="6"/>
  <c r="AS145" i="6"/>
  <c r="AP145" i="6"/>
  <c r="AH146" i="6"/>
  <c r="AY146" i="6"/>
  <c r="AU146" i="6"/>
  <c r="AQ145" i="6"/>
  <c r="S149" i="5"/>
  <c r="F149" i="12" s="1"/>
  <c r="AG149" i="5"/>
  <c r="AR145" i="6"/>
  <c r="AG146" i="6"/>
  <c r="AD146" i="6"/>
  <c r="BD145" i="6"/>
  <c r="BA145" i="6"/>
  <c r="AT145" i="6"/>
  <c r="BC145" i="6"/>
  <c r="AJ145" i="6"/>
  <c r="BF145" i="6"/>
  <c r="BG145" i="6"/>
  <c r="AC146" i="6"/>
  <c r="AI146" i="6"/>
  <c r="AE146" i="6"/>
  <c r="K147" i="12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E148" i="12"/>
  <c r="F148" i="6"/>
  <c r="W149" i="5"/>
  <c r="H149" i="12" s="1"/>
  <c r="A149" i="12"/>
  <c r="B149" i="6"/>
  <c r="AD149" i="5"/>
  <c r="J149" i="5"/>
  <c r="F149" i="5"/>
  <c r="G149" i="5"/>
  <c r="D149" i="5"/>
  <c r="B149" i="12" s="1"/>
  <c r="E149" i="5"/>
  <c r="H149" i="5"/>
  <c r="C150" i="5"/>
  <c r="K149" i="5"/>
  <c r="R149" i="5"/>
  <c r="B149" i="5"/>
  <c r="AE149" i="5"/>
  <c r="N149" i="5"/>
  <c r="AJ146" i="6"/>
  <c r="AO146" i="6"/>
  <c r="BA146" i="6"/>
  <c r="AP146" i="6"/>
  <c r="AF146" i="6"/>
  <c r="BG146" i="6"/>
  <c r="AT146" i="6"/>
  <c r="AR146" i="6"/>
  <c r="AB146" i="6"/>
  <c r="AK146" i="6"/>
  <c r="AM146" i="6"/>
  <c r="AS146" i="6"/>
  <c r="BB146" i="6"/>
  <c r="BC146" i="6"/>
  <c r="G146" i="12"/>
  <c r="X146" i="5"/>
  <c r="G147" i="6"/>
  <c r="H147" i="6"/>
  <c r="T147" i="5" s="1"/>
  <c r="X142" i="12"/>
  <c r="W142" i="12"/>
  <c r="L148" i="12"/>
  <c r="J148" i="12"/>
  <c r="D148" i="6"/>
  <c r="A147" i="6"/>
  <c r="I145" i="12"/>
  <c r="AM145" i="5"/>
  <c r="L145" i="5"/>
  <c r="Z145" i="5"/>
  <c r="AC145" i="5"/>
  <c r="U141" i="12"/>
  <c r="T141" i="12"/>
  <c r="V141" i="12"/>
  <c r="AF150" i="5"/>
  <c r="Y144" i="12" l="1"/>
  <c r="X144" i="12" s="1"/>
  <c r="X143" i="12"/>
  <c r="AG150" i="5"/>
  <c r="S150" i="5"/>
  <c r="F150" i="12" s="1"/>
  <c r="A148" i="6"/>
  <c r="M147" i="6"/>
  <c r="AI147" i="6" s="1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AC146" i="5"/>
  <c r="D149" i="6"/>
  <c r="F149" i="6"/>
  <c r="E149" i="12"/>
  <c r="B150" i="6"/>
  <c r="B150" i="5"/>
  <c r="K150" i="5"/>
  <c r="A150" i="12"/>
  <c r="R150" i="5"/>
  <c r="J150" i="5"/>
  <c r="F150" i="5"/>
  <c r="H150" i="5"/>
  <c r="N150" i="5"/>
  <c r="W150" i="5"/>
  <c r="H150" i="12" s="1"/>
  <c r="AD150" i="5"/>
  <c r="D150" i="5"/>
  <c r="B150" i="12" s="1"/>
  <c r="C151" i="5"/>
  <c r="AE150" i="5"/>
  <c r="G150" i="5"/>
  <c r="E150" i="5"/>
  <c r="J149" i="12"/>
  <c r="L149" i="12"/>
  <c r="D144" i="12"/>
  <c r="E144" i="6"/>
  <c r="H148" i="6"/>
  <c r="T148" i="5" s="1"/>
  <c r="G148" i="6"/>
  <c r="K148" i="12"/>
  <c r="G147" i="12"/>
  <c r="X147" i="5"/>
  <c r="U143" i="12"/>
  <c r="T143" i="12"/>
  <c r="V143" i="12"/>
  <c r="AF151" i="5"/>
  <c r="W144" i="12" l="1"/>
  <c r="U144" i="12" s="1"/>
  <c r="M148" i="6"/>
  <c r="AI148" i="6" s="1"/>
  <c r="AE147" i="6"/>
  <c r="AO147" i="6"/>
  <c r="AG147" i="6"/>
  <c r="AD147" i="6"/>
  <c r="AP147" i="6"/>
  <c r="AN147" i="6"/>
  <c r="AS147" i="6"/>
  <c r="AG151" i="5"/>
  <c r="S151" i="5"/>
  <c r="F151" i="12" s="1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AC147" i="5"/>
  <c r="F151" i="5"/>
  <c r="B151" i="6"/>
  <c r="G151" i="5"/>
  <c r="C152" i="5"/>
  <c r="B151" i="5"/>
  <c r="H151" i="5"/>
  <c r="N151" i="5"/>
  <c r="D151" i="5"/>
  <c r="B151" i="12" s="1"/>
  <c r="E151" i="5"/>
  <c r="AE151" i="5"/>
  <c r="J151" i="5"/>
  <c r="W151" i="5"/>
  <c r="H151" i="12" s="1"/>
  <c r="R151" i="5"/>
  <c r="AD151" i="5"/>
  <c r="A151" i="12"/>
  <c r="K151" i="5"/>
  <c r="E150" i="12"/>
  <c r="F150" i="6"/>
  <c r="G149" i="6"/>
  <c r="H149" i="6"/>
  <c r="T149" i="5" s="1"/>
  <c r="C146" i="6"/>
  <c r="O146" i="5"/>
  <c r="N145" i="12"/>
  <c r="D145" i="12"/>
  <c r="E145" i="6"/>
  <c r="A149" i="6"/>
  <c r="G148" i="12"/>
  <c r="X148" i="5"/>
  <c r="K149" i="12"/>
  <c r="D150" i="6"/>
  <c r="L150" i="12"/>
  <c r="J150" i="12"/>
  <c r="AA146" i="5"/>
  <c r="AB146" i="5"/>
  <c r="C146" i="12"/>
  <c r="AO146" i="12"/>
  <c r="M146" i="12"/>
  <c r="O146" i="12"/>
  <c r="Y145" i="12"/>
  <c r="AF152" i="5"/>
  <c r="AN148" i="6" l="1"/>
  <c r="T144" i="12"/>
  <c r="V144" i="12"/>
  <c r="AB148" i="6"/>
  <c r="BA148" i="6"/>
  <c r="AG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S152" i="5"/>
  <c r="F152" i="12" s="1"/>
  <c r="AG152" i="5"/>
  <c r="X145" i="12"/>
  <c r="W145" i="12"/>
  <c r="E146" i="6"/>
  <c r="D146" i="12"/>
  <c r="M149" i="6"/>
  <c r="AH149" i="6" s="1"/>
  <c r="A150" i="6"/>
  <c r="J151" i="12"/>
  <c r="L151" i="12"/>
  <c r="F151" i="6"/>
  <c r="E151" i="12"/>
  <c r="D151" i="6"/>
  <c r="AB147" i="5"/>
  <c r="AA147" i="5"/>
  <c r="C147" i="6"/>
  <c r="O147" i="5"/>
  <c r="N146" i="12"/>
  <c r="Y146" i="12"/>
  <c r="K150" i="12"/>
  <c r="G150" i="6"/>
  <c r="H150" i="6"/>
  <c r="T150" i="5" s="1"/>
  <c r="I148" i="12"/>
  <c r="L148" i="5"/>
  <c r="AM148" i="5"/>
  <c r="Z148" i="5"/>
  <c r="AC148" i="5"/>
  <c r="G149" i="12"/>
  <c r="X149" i="5"/>
  <c r="D152" i="5"/>
  <c r="B152" i="12" s="1"/>
  <c r="F152" i="5"/>
  <c r="E152" i="5"/>
  <c r="K152" i="5"/>
  <c r="G152" i="5"/>
  <c r="H152" i="5"/>
  <c r="W152" i="5"/>
  <c r="H152" i="12" s="1"/>
  <c r="B152" i="5"/>
  <c r="C153" i="5"/>
  <c r="AD152" i="5"/>
  <c r="N152" i="5"/>
  <c r="R152" i="5"/>
  <c r="AE152" i="5"/>
  <c r="J152" i="5"/>
  <c r="B152" i="6"/>
  <c r="A152" i="12"/>
  <c r="C147" i="12"/>
  <c r="M147" i="12"/>
  <c r="O147" i="12"/>
  <c r="AO147" i="12"/>
  <c r="AF153" i="5"/>
  <c r="M150" i="6" l="1"/>
  <c r="AZ150" i="6" s="1"/>
  <c r="AG153" i="5"/>
  <c r="S153" i="5"/>
  <c r="F153" i="12" s="1"/>
  <c r="AD149" i="6"/>
  <c r="AG149" i="6"/>
  <c r="K151" i="12"/>
  <c r="A151" i="6"/>
  <c r="M151" i="6" s="1"/>
  <c r="BE151" i="6" s="1"/>
  <c r="Y147" i="12"/>
  <c r="W147" i="12" s="1"/>
  <c r="J152" i="12"/>
  <c r="L152" i="12"/>
  <c r="D152" i="6"/>
  <c r="H153" i="5"/>
  <c r="N153" i="5"/>
  <c r="D153" i="5"/>
  <c r="B153" i="12" s="1"/>
  <c r="B153" i="6"/>
  <c r="E153" i="5"/>
  <c r="R153" i="5"/>
  <c r="K153" i="5"/>
  <c r="F153" i="5"/>
  <c r="B153" i="5"/>
  <c r="G153" i="5"/>
  <c r="W153" i="5"/>
  <c r="H153" i="12" s="1"/>
  <c r="AE153" i="5"/>
  <c r="AD153" i="5"/>
  <c r="C154" i="5"/>
  <c r="J153" i="5"/>
  <c r="A153" i="12"/>
  <c r="L149" i="5"/>
  <c r="AM149" i="5"/>
  <c r="I149" i="12"/>
  <c r="Z149" i="5"/>
  <c r="AC149" i="5"/>
  <c r="C148" i="6"/>
  <c r="O148" i="5"/>
  <c r="H151" i="6"/>
  <c r="T151" i="5" s="1"/>
  <c r="G151" i="6"/>
  <c r="U145" i="12"/>
  <c r="V145" i="12"/>
  <c r="T145" i="12"/>
  <c r="N147" i="12"/>
  <c r="E152" i="12"/>
  <c r="F152" i="6"/>
  <c r="AA148" i="5"/>
  <c r="AB148" i="5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F154" i="5"/>
  <c r="AU150" i="6" l="1"/>
  <c r="BE150" i="6"/>
  <c r="AN150" i="6"/>
  <c r="AV150" i="6"/>
  <c r="AJ150" i="6"/>
  <c r="BA150" i="6"/>
  <c r="AS150" i="6"/>
  <c r="BC150" i="6"/>
  <c r="AE150" i="6"/>
  <c r="BD150" i="6"/>
  <c r="AP150" i="6"/>
  <c r="BG150" i="6"/>
  <c r="AD150" i="6"/>
  <c r="AB150" i="6"/>
  <c r="AI150" i="6"/>
  <c r="AX150" i="6"/>
  <c r="AC150" i="6"/>
  <c r="AK150" i="6"/>
  <c r="AF150" i="6"/>
  <c r="AM150" i="6"/>
  <c r="AY150" i="6"/>
  <c r="AG150" i="6"/>
  <c r="AT150" i="6"/>
  <c r="BB150" i="6"/>
  <c r="BF150" i="6"/>
  <c r="AH150" i="6"/>
  <c r="AR150" i="6"/>
  <c r="AO150" i="6"/>
  <c r="AQ150" i="6"/>
  <c r="X147" i="12"/>
  <c r="A152" i="6"/>
  <c r="M152" i="6" s="1"/>
  <c r="AG154" i="5"/>
  <c r="S154" i="5"/>
  <c r="F154" i="12" s="1"/>
  <c r="AM151" i="6"/>
  <c r="AZ151" i="6"/>
  <c r="AP151" i="6"/>
  <c r="AK151" i="6"/>
  <c r="AS151" i="6"/>
  <c r="BD151" i="6"/>
  <c r="N148" i="12"/>
  <c r="K152" i="12"/>
  <c r="U146" i="12"/>
  <c r="T146" i="12"/>
  <c r="V146" i="12"/>
  <c r="Y148" i="12"/>
  <c r="AN151" i="6"/>
  <c r="BB151" i="6"/>
  <c r="AR151" i="6"/>
  <c r="AQ151" i="6"/>
  <c r="AH151" i="6"/>
  <c r="AX151" i="6"/>
  <c r="AI151" i="6"/>
  <c r="AJ151" i="6"/>
  <c r="G151" i="12"/>
  <c r="X151" i="5"/>
  <c r="C149" i="12"/>
  <c r="M149" i="12"/>
  <c r="AO149" i="12"/>
  <c r="O149" i="12"/>
  <c r="C149" i="6"/>
  <c r="O149" i="5"/>
  <c r="L153" i="12"/>
  <c r="J153" i="12"/>
  <c r="AE154" i="5"/>
  <c r="B154" i="6"/>
  <c r="AD154" i="5"/>
  <c r="R154" i="5"/>
  <c r="N154" i="5"/>
  <c r="B154" i="5"/>
  <c r="J154" i="5"/>
  <c r="A154" i="12"/>
  <c r="G154" i="5"/>
  <c r="H154" i="5"/>
  <c r="F154" i="5"/>
  <c r="K154" i="5"/>
  <c r="W154" i="5"/>
  <c r="H154" i="12" s="1"/>
  <c r="D154" i="5"/>
  <c r="B154" i="12" s="1"/>
  <c r="C155" i="5"/>
  <c r="E154" i="5"/>
  <c r="G152" i="6"/>
  <c r="H152" i="6"/>
  <c r="T152" i="5" s="1"/>
  <c r="L150" i="5"/>
  <c r="AM150" i="5"/>
  <c r="I150" i="12"/>
  <c r="Z150" i="5"/>
  <c r="AC150" i="5"/>
  <c r="AG151" i="6"/>
  <c r="AF151" i="6"/>
  <c r="BC151" i="6"/>
  <c r="AV151" i="6"/>
  <c r="AD151" i="6"/>
  <c r="AC151" i="6"/>
  <c r="AO151" i="6"/>
  <c r="AE151" i="6"/>
  <c r="AY151" i="6"/>
  <c r="BG151" i="6"/>
  <c r="AU151" i="6"/>
  <c r="AT151" i="6"/>
  <c r="BF151" i="6"/>
  <c r="BA151" i="6"/>
  <c r="AB151" i="6"/>
  <c r="D148" i="12"/>
  <c r="E148" i="6"/>
  <c r="AB149" i="5"/>
  <c r="AA149" i="5"/>
  <c r="E153" i="12"/>
  <c r="F153" i="6"/>
  <c r="D153" i="6"/>
  <c r="U147" i="12"/>
  <c r="T147" i="12"/>
  <c r="V147" i="12"/>
  <c r="AF155" i="5"/>
  <c r="N149" i="12" l="1"/>
  <c r="AM152" i="6"/>
  <c r="AP152" i="6"/>
  <c r="BE152" i="6"/>
  <c r="AG155" i="5"/>
  <c r="S155" i="5"/>
  <c r="F155" i="12" s="1"/>
  <c r="AF152" i="6"/>
  <c r="AJ152" i="6"/>
  <c r="AX152" i="6"/>
  <c r="AS152" i="6"/>
  <c r="AT152" i="6"/>
  <c r="AZ152" i="6"/>
  <c r="AV152" i="6"/>
  <c r="BD152" i="6"/>
  <c r="BF152" i="6"/>
  <c r="AO152" i="6"/>
  <c r="AU152" i="6"/>
  <c r="AC152" i="6"/>
  <c r="AD152" i="6"/>
  <c r="H153" i="6"/>
  <c r="T153" i="5" s="1"/>
  <c r="G153" i="6"/>
  <c r="AA150" i="5"/>
  <c r="AB150" i="5"/>
  <c r="C150" i="12"/>
  <c r="O150" i="12"/>
  <c r="M150" i="12"/>
  <c r="AO150" i="12"/>
  <c r="C150" i="6"/>
  <c r="O150" i="5"/>
  <c r="A155" i="12"/>
  <c r="H155" i="5"/>
  <c r="J155" i="5"/>
  <c r="N155" i="5"/>
  <c r="W155" i="5"/>
  <c r="H155" i="12" s="1"/>
  <c r="AD155" i="5"/>
  <c r="G155" i="5"/>
  <c r="B155" i="6"/>
  <c r="C156" i="5"/>
  <c r="F155" i="5"/>
  <c r="AE155" i="5"/>
  <c r="D155" i="5"/>
  <c r="B155" i="12" s="1"/>
  <c r="B155" i="5"/>
  <c r="E155" i="5"/>
  <c r="K155" i="5"/>
  <c r="R155" i="5"/>
  <c r="D154" i="6"/>
  <c r="D149" i="12"/>
  <c r="E149" i="6"/>
  <c r="AM151" i="5"/>
  <c r="I151" i="12"/>
  <c r="L151" i="5"/>
  <c r="Z151" i="5"/>
  <c r="AC151" i="5"/>
  <c r="X148" i="12"/>
  <c r="W148" i="12"/>
  <c r="A153" i="6"/>
  <c r="BG152" i="6"/>
  <c r="AK152" i="6"/>
  <c r="AQ152" i="6"/>
  <c r="AI152" i="6"/>
  <c r="AE152" i="6"/>
  <c r="AN152" i="6"/>
  <c r="AY152" i="6"/>
  <c r="AG152" i="6"/>
  <c r="G152" i="12"/>
  <c r="X152" i="5"/>
  <c r="BB152" i="6"/>
  <c r="AH152" i="6"/>
  <c r="BA152" i="6"/>
  <c r="BC152" i="6"/>
  <c r="AR152" i="6"/>
  <c r="AB152" i="6"/>
  <c r="L154" i="12"/>
  <c r="J154" i="12"/>
  <c r="E154" i="12"/>
  <c r="F154" i="6"/>
  <c r="K153" i="12"/>
  <c r="Y149" i="12"/>
  <c r="AF156" i="5"/>
  <c r="Y150" i="12" l="1"/>
  <c r="X150" i="12" s="1"/>
  <c r="AG156" i="5"/>
  <c r="S156" i="5"/>
  <c r="F156" i="12" s="1"/>
  <c r="K154" i="12"/>
  <c r="M153" i="6"/>
  <c r="AX153" i="6" s="1"/>
  <c r="N150" i="12"/>
  <c r="V148" i="12"/>
  <c r="T148" i="12"/>
  <c r="U148" i="12"/>
  <c r="AA151" i="5"/>
  <c r="AB151" i="5"/>
  <c r="C151" i="12"/>
  <c r="M151" i="12"/>
  <c r="AO151" i="12"/>
  <c r="O151" i="12"/>
  <c r="G154" i="6"/>
  <c r="H154" i="6"/>
  <c r="T154" i="5" s="1"/>
  <c r="K156" i="5"/>
  <c r="H156" i="5"/>
  <c r="F156" i="5"/>
  <c r="G156" i="5"/>
  <c r="AE156" i="5"/>
  <c r="E156" i="5"/>
  <c r="B156" i="5"/>
  <c r="N156" i="5"/>
  <c r="R156" i="5"/>
  <c r="D156" i="5"/>
  <c r="B156" i="12" s="1"/>
  <c r="W156" i="5"/>
  <c r="H156" i="12" s="1"/>
  <c r="J156" i="5"/>
  <c r="C157" i="5"/>
  <c r="B156" i="6"/>
  <c r="A156" i="12"/>
  <c r="AD156" i="5"/>
  <c r="D155" i="6"/>
  <c r="D150" i="12"/>
  <c r="E150" i="6"/>
  <c r="W150" i="12"/>
  <c r="X149" i="12"/>
  <c r="W149" i="12"/>
  <c r="A154" i="6"/>
  <c r="I152" i="12"/>
  <c r="L152" i="5"/>
  <c r="AM152" i="5"/>
  <c r="Z152" i="5"/>
  <c r="AC152" i="5"/>
  <c r="C151" i="6"/>
  <c r="O151" i="5"/>
  <c r="E155" i="12"/>
  <c r="F155" i="6"/>
  <c r="J155" i="12"/>
  <c r="L155" i="12"/>
  <c r="G153" i="12"/>
  <c r="X153" i="5"/>
  <c r="AF157" i="5"/>
  <c r="N151" i="12" l="1"/>
  <c r="AB153" i="6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K155" i="12"/>
  <c r="AG157" i="5"/>
  <c r="S157" i="5"/>
  <c r="F157" i="12" s="1"/>
  <c r="AT153" i="6"/>
  <c r="BA153" i="6"/>
  <c r="AF153" i="6"/>
  <c r="BD153" i="6"/>
  <c r="AS153" i="6"/>
  <c r="AY153" i="6"/>
  <c r="A155" i="6"/>
  <c r="M155" i="6" s="1"/>
  <c r="AM155" i="6" s="1"/>
  <c r="M154" i="6"/>
  <c r="AJ154" i="6" s="1"/>
  <c r="Y151" i="12"/>
  <c r="W151" i="12" s="1"/>
  <c r="L153" i="5"/>
  <c r="AM153" i="5"/>
  <c r="I153" i="12"/>
  <c r="Z153" i="5"/>
  <c r="AC153" i="5"/>
  <c r="C152" i="12"/>
  <c r="M152" i="12"/>
  <c r="O152" i="12"/>
  <c r="AO152" i="12"/>
  <c r="V149" i="12"/>
  <c r="T149" i="12"/>
  <c r="U149" i="12"/>
  <c r="L156" i="12"/>
  <c r="J156" i="12"/>
  <c r="D157" i="5"/>
  <c r="B157" i="12" s="1"/>
  <c r="H157" i="5"/>
  <c r="G157" i="5"/>
  <c r="N157" i="5"/>
  <c r="J157" i="5"/>
  <c r="C158" i="5"/>
  <c r="B157" i="5"/>
  <c r="K157" i="5"/>
  <c r="A157" i="12"/>
  <c r="R157" i="5"/>
  <c r="AE157" i="5"/>
  <c r="AD157" i="5"/>
  <c r="B157" i="6"/>
  <c r="W157" i="5"/>
  <c r="H157" i="12" s="1"/>
  <c r="E157" i="5"/>
  <c r="F157" i="5"/>
  <c r="D156" i="6"/>
  <c r="D151" i="12"/>
  <c r="E151" i="6"/>
  <c r="AA152" i="5"/>
  <c r="AB152" i="5"/>
  <c r="C152" i="6"/>
  <c r="O152" i="5"/>
  <c r="T150" i="12"/>
  <c r="V150" i="12"/>
  <c r="U150" i="12"/>
  <c r="G155" i="6"/>
  <c r="H155" i="6"/>
  <c r="T155" i="5" s="1"/>
  <c r="F156" i="6"/>
  <c r="E156" i="12"/>
  <c r="G154" i="12"/>
  <c r="X154" i="5"/>
  <c r="AF158" i="5"/>
  <c r="AV154" i="6" l="1"/>
  <c r="AP154" i="6"/>
  <c r="A156" i="6"/>
  <c r="M156" i="6" s="1"/>
  <c r="X151" i="12"/>
  <c r="BD154" i="6"/>
  <c r="AK154" i="6"/>
  <c r="AI154" i="6"/>
  <c r="BG154" i="6"/>
  <c r="AZ154" i="6"/>
  <c r="BA154" i="6"/>
  <c r="AG154" i="6"/>
  <c r="AX154" i="6"/>
  <c r="BF154" i="6"/>
  <c r="AG158" i="5"/>
  <c r="S158" i="5"/>
  <c r="F158" i="12" s="1"/>
  <c r="AV155" i="6"/>
  <c r="BC155" i="6"/>
  <c r="AI155" i="6"/>
  <c r="AU155" i="6"/>
  <c r="AQ155" i="6"/>
  <c r="BB155" i="6"/>
  <c r="AO155" i="6"/>
  <c r="K156" i="12"/>
  <c r="Y152" i="12"/>
  <c r="X152" i="12" s="1"/>
  <c r="BB154" i="6"/>
  <c r="AO154" i="6"/>
  <c r="AS154" i="6"/>
  <c r="AE154" i="6"/>
  <c r="BE154" i="6"/>
  <c r="BC154" i="6"/>
  <c r="AD154" i="6"/>
  <c r="AR154" i="6"/>
  <c r="AC154" i="6"/>
  <c r="AQ154" i="6"/>
  <c r="AF154" i="6"/>
  <c r="AC155" i="6"/>
  <c r="AY155" i="6"/>
  <c r="BA155" i="6"/>
  <c r="AH155" i="6"/>
  <c r="AD155" i="6"/>
  <c r="AR155" i="6"/>
  <c r="AN155" i="6"/>
  <c r="AJ155" i="6"/>
  <c r="AB154" i="6"/>
  <c r="AN154" i="6"/>
  <c r="AM154" i="6"/>
  <c r="AY154" i="6"/>
  <c r="AT154" i="6"/>
  <c r="AU154" i="6"/>
  <c r="AH154" i="6"/>
  <c r="K158" i="5"/>
  <c r="E158" i="5"/>
  <c r="N158" i="5"/>
  <c r="F158" i="5"/>
  <c r="B158" i="5"/>
  <c r="R158" i="5"/>
  <c r="A158" i="12"/>
  <c r="C159" i="5"/>
  <c r="D158" i="5"/>
  <c r="B158" i="12" s="1"/>
  <c r="W158" i="5"/>
  <c r="H158" i="12" s="1"/>
  <c r="J158" i="5"/>
  <c r="AE158" i="5"/>
  <c r="AD158" i="5"/>
  <c r="G158" i="5"/>
  <c r="H158" i="5"/>
  <c r="B158" i="6"/>
  <c r="D157" i="6"/>
  <c r="AM154" i="5"/>
  <c r="I154" i="12"/>
  <c r="L154" i="5"/>
  <c r="Z154" i="5"/>
  <c r="AC154" i="5"/>
  <c r="AE155" i="6"/>
  <c r="AS155" i="6"/>
  <c r="BD155" i="6"/>
  <c r="AK155" i="6"/>
  <c r="AF155" i="6"/>
  <c r="BF155" i="6"/>
  <c r="BE155" i="6"/>
  <c r="AP155" i="6"/>
  <c r="G155" i="12"/>
  <c r="X155" i="5"/>
  <c r="AG155" i="6"/>
  <c r="AT155" i="6"/>
  <c r="BG155" i="6"/>
  <c r="AZ155" i="6"/>
  <c r="AX155" i="6"/>
  <c r="AB155" i="6"/>
  <c r="D152" i="12"/>
  <c r="E152" i="6"/>
  <c r="T151" i="12"/>
  <c r="U151" i="12"/>
  <c r="V151" i="12"/>
  <c r="H156" i="6"/>
  <c r="T156" i="5" s="1"/>
  <c r="G156" i="6"/>
  <c r="F157" i="6"/>
  <c r="E157" i="12"/>
  <c r="L157" i="12"/>
  <c r="J157" i="12"/>
  <c r="N152" i="12"/>
  <c r="AA153" i="5"/>
  <c r="AB153" i="5"/>
  <c r="C153" i="12"/>
  <c r="AO153" i="12"/>
  <c r="M153" i="12"/>
  <c r="O153" i="12"/>
  <c r="C153" i="6"/>
  <c r="O153" i="5"/>
  <c r="AF159" i="5"/>
  <c r="W152" i="12" l="1"/>
  <c r="T152" i="12" s="1"/>
  <c r="AI156" i="6"/>
  <c r="AV156" i="6"/>
  <c r="AG159" i="5"/>
  <c r="S159" i="5"/>
  <c r="F159" i="12" s="1"/>
  <c r="AJ156" i="6"/>
  <c r="BD156" i="6"/>
  <c r="AO156" i="6"/>
  <c r="AC156" i="6"/>
  <c r="BC156" i="6"/>
  <c r="AQ156" i="6"/>
  <c r="AS156" i="6"/>
  <c r="AY156" i="6"/>
  <c r="AK156" i="6"/>
  <c r="AE156" i="6"/>
  <c r="AU156" i="6"/>
  <c r="N153" i="12"/>
  <c r="BB156" i="6"/>
  <c r="AX156" i="6"/>
  <c r="AN156" i="6"/>
  <c r="BA156" i="6"/>
  <c r="BE156" i="6"/>
  <c r="AF156" i="6"/>
  <c r="D153" i="12"/>
  <c r="E153" i="6"/>
  <c r="Y153" i="12"/>
  <c r="C154" i="6"/>
  <c r="O154" i="5"/>
  <c r="U152" i="12"/>
  <c r="H157" i="6"/>
  <c r="T157" i="5" s="1"/>
  <c r="G157" i="6"/>
  <c r="L158" i="12"/>
  <c r="J158" i="12"/>
  <c r="D158" i="6"/>
  <c r="K157" i="12"/>
  <c r="AD156" i="6"/>
  <c r="AH156" i="6"/>
  <c r="AP156" i="6"/>
  <c r="AZ156" i="6"/>
  <c r="AB156" i="6"/>
  <c r="AG156" i="6"/>
  <c r="AT156" i="6"/>
  <c r="AM156" i="6"/>
  <c r="BF156" i="6"/>
  <c r="BG156" i="6"/>
  <c r="AR156" i="6"/>
  <c r="G156" i="12"/>
  <c r="X156" i="5"/>
  <c r="L155" i="5"/>
  <c r="I155" i="12"/>
  <c r="AM155" i="5"/>
  <c r="Z155" i="5"/>
  <c r="AC155" i="5"/>
  <c r="AB154" i="5"/>
  <c r="AA154" i="5"/>
  <c r="C154" i="12"/>
  <c r="M154" i="12"/>
  <c r="O154" i="12"/>
  <c r="AO154" i="12"/>
  <c r="N159" i="5"/>
  <c r="AE159" i="5"/>
  <c r="G159" i="5"/>
  <c r="C160" i="5"/>
  <c r="D159" i="5"/>
  <c r="B159" i="12" s="1"/>
  <c r="H159" i="5"/>
  <c r="R159" i="5"/>
  <c r="J159" i="5"/>
  <c r="B159" i="6"/>
  <c r="B159" i="5"/>
  <c r="A159" i="12"/>
  <c r="K159" i="5"/>
  <c r="AD159" i="5"/>
  <c r="W159" i="5"/>
  <c r="H159" i="12" s="1"/>
  <c r="E159" i="5"/>
  <c r="F159" i="5"/>
  <c r="F158" i="6"/>
  <c r="E158" i="12"/>
  <c r="A157" i="6"/>
  <c r="AF160" i="5"/>
  <c r="V152" i="12" l="1"/>
  <c r="AG160" i="5"/>
  <c r="S160" i="5"/>
  <c r="F160" i="12" s="1"/>
  <c r="Y154" i="12"/>
  <c r="X154" i="12" s="1"/>
  <c r="M157" i="6"/>
  <c r="AV157" i="6" s="1"/>
  <c r="N160" i="5"/>
  <c r="AD160" i="5"/>
  <c r="F160" i="5"/>
  <c r="B160" i="5"/>
  <c r="AE160" i="5"/>
  <c r="E160" i="5"/>
  <c r="J160" i="5"/>
  <c r="C161" i="5"/>
  <c r="K160" i="5"/>
  <c r="A160" i="12"/>
  <c r="W160" i="5"/>
  <c r="H160" i="12" s="1"/>
  <c r="H160" i="5"/>
  <c r="D160" i="5"/>
  <c r="B160" i="12" s="1"/>
  <c r="R160" i="5"/>
  <c r="B160" i="6"/>
  <c r="G160" i="5"/>
  <c r="C155" i="12"/>
  <c r="O155" i="12"/>
  <c r="M155" i="12"/>
  <c r="AO155" i="12"/>
  <c r="L156" i="5"/>
  <c r="AM156" i="5"/>
  <c r="I156" i="12"/>
  <c r="Z156" i="5"/>
  <c r="AC156" i="5"/>
  <c r="K158" i="12"/>
  <c r="J159" i="12"/>
  <c r="L159" i="12"/>
  <c r="E159" i="12"/>
  <c r="F159" i="6"/>
  <c r="D159" i="6"/>
  <c r="N154" i="12"/>
  <c r="AB155" i="5"/>
  <c r="AA155" i="5"/>
  <c r="C155" i="6"/>
  <c r="O155" i="5"/>
  <c r="H158" i="6"/>
  <c r="T158" i="5" s="1"/>
  <c r="G158" i="6"/>
  <c r="A158" i="6"/>
  <c r="G157" i="12"/>
  <c r="X157" i="5"/>
  <c r="E154" i="6"/>
  <c r="D154" i="12"/>
  <c r="X153" i="12"/>
  <c r="W153" i="12"/>
  <c r="AF161" i="5"/>
  <c r="W154" i="12" l="1"/>
  <c r="V154" i="12" s="1"/>
  <c r="Y155" i="12"/>
  <c r="X155" i="12" s="1"/>
  <c r="BE157" i="6"/>
  <c r="N155" i="12"/>
  <c r="AT157" i="6"/>
  <c r="AH157" i="6"/>
  <c r="AU157" i="6"/>
  <c r="AO157" i="6"/>
  <c r="BA157" i="6"/>
  <c r="AG161" i="5"/>
  <c r="S161" i="5"/>
  <c r="F161" i="12" s="1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159" i="6"/>
  <c r="M159" i="6" s="1"/>
  <c r="AK157" i="6"/>
  <c r="AD157" i="6"/>
  <c r="G158" i="12"/>
  <c r="X158" i="5"/>
  <c r="E155" i="6"/>
  <c r="D155" i="12"/>
  <c r="AE161" i="5"/>
  <c r="B161" i="5"/>
  <c r="E161" i="5"/>
  <c r="N161" i="5"/>
  <c r="A161" i="12"/>
  <c r="K161" i="5"/>
  <c r="F161" i="5"/>
  <c r="J161" i="5"/>
  <c r="H161" i="5"/>
  <c r="W161" i="5"/>
  <c r="H161" i="12" s="1"/>
  <c r="R161" i="5"/>
  <c r="C162" i="5"/>
  <c r="G161" i="5"/>
  <c r="AD161" i="5"/>
  <c r="D161" i="5"/>
  <c r="B161" i="12" s="1"/>
  <c r="B161" i="6"/>
  <c r="T153" i="12"/>
  <c r="U153" i="12"/>
  <c r="V153" i="12"/>
  <c r="L157" i="5"/>
  <c r="I157" i="12"/>
  <c r="AM157" i="5"/>
  <c r="Z157" i="5"/>
  <c r="AC157" i="5"/>
  <c r="M158" i="6"/>
  <c r="H159" i="6"/>
  <c r="T159" i="5" s="1"/>
  <c r="G159" i="6"/>
  <c r="K159" i="12"/>
  <c r="AA156" i="5"/>
  <c r="AB156" i="5"/>
  <c r="C156" i="12"/>
  <c r="AO156" i="12"/>
  <c r="O156" i="12"/>
  <c r="M156" i="12"/>
  <c r="C156" i="6"/>
  <c r="O156" i="5"/>
  <c r="E160" i="12"/>
  <c r="F160" i="6"/>
  <c r="J160" i="12"/>
  <c r="L160" i="12"/>
  <c r="D160" i="6"/>
  <c r="AF162" i="5"/>
  <c r="W155" i="12" l="1"/>
  <c r="U155" i="12" s="1"/>
  <c r="U154" i="12"/>
  <c r="T154" i="12"/>
  <c r="S162" i="5"/>
  <c r="F162" i="12" s="1"/>
  <c r="AG162" i="5"/>
  <c r="K160" i="12"/>
  <c r="N156" i="12"/>
  <c r="AM159" i="6"/>
  <c r="BE159" i="6"/>
  <c r="AU159" i="6"/>
  <c r="BC159" i="6"/>
  <c r="BF159" i="6"/>
  <c r="BA159" i="6"/>
  <c r="AV159" i="6"/>
  <c r="AP159" i="6"/>
  <c r="AQ159" i="6"/>
  <c r="BG159" i="6"/>
  <c r="AT159" i="6"/>
  <c r="AY159" i="6"/>
  <c r="AG159" i="6"/>
  <c r="AS159" i="6"/>
  <c r="AZ159" i="6"/>
  <c r="BD159" i="6"/>
  <c r="AX159" i="6"/>
  <c r="AR159" i="6"/>
  <c r="AN159" i="6"/>
  <c r="BB159" i="6"/>
  <c r="AO159" i="6"/>
  <c r="AE159" i="6"/>
  <c r="AF159" i="6"/>
  <c r="AB159" i="6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J161" i="12"/>
  <c r="L161" i="12"/>
  <c r="AM158" i="5"/>
  <c r="I158" i="12"/>
  <c r="L158" i="5"/>
  <c r="Z158" i="5"/>
  <c r="AC158" i="5"/>
  <c r="H160" i="6"/>
  <c r="T160" i="5" s="1"/>
  <c r="G160" i="6"/>
  <c r="D156" i="12"/>
  <c r="E156" i="6"/>
  <c r="Y156" i="12"/>
  <c r="AC159" i="6"/>
  <c r="AI159" i="6"/>
  <c r="AH159" i="6"/>
  <c r="AJ159" i="6"/>
  <c r="AK159" i="6"/>
  <c r="AD159" i="6"/>
  <c r="AF158" i="6"/>
  <c r="AK158" i="6"/>
  <c r="AE158" i="6"/>
  <c r="AC158" i="6"/>
  <c r="AA157" i="5"/>
  <c r="AB157" i="5"/>
  <c r="C157" i="6"/>
  <c r="O157" i="5"/>
  <c r="K162" i="5"/>
  <c r="N162" i="5"/>
  <c r="C163" i="5"/>
  <c r="R162" i="5"/>
  <c r="F162" i="5"/>
  <c r="D162" i="5"/>
  <c r="B162" i="12" s="1"/>
  <c r="AD162" i="5"/>
  <c r="E162" i="5"/>
  <c r="G162" i="5"/>
  <c r="B162" i="5"/>
  <c r="H162" i="5"/>
  <c r="AE162" i="5"/>
  <c r="J162" i="5"/>
  <c r="W162" i="5"/>
  <c r="H162" i="12" s="1"/>
  <c r="A162" i="12"/>
  <c r="B162" i="6"/>
  <c r="F161" i="6"/>
  <c r="E161" i="12"/>
  <c r="D161" i="6"/>
  <c r="A160" i="6"/>
  <c r="M160" i="6" s="1"/>
  <c r="AF163" i="5"/>
  <c r="T155" i="12" l="1"/>
  <c r="V155" i="12"/>
  <c r="K161" i="12"/>
  <c r="S163" i="5"/>
  <c r="F163" i="12" s="1"/>
  <c r="AG163" i="5"/>
  <c r="Y157" i="12"/>
  <c r="X157" i="12" s="1"/>
  <c r="BB160" i="6"/>
  <c r="AO160" i="6"/>
  <c r="AT160" i="6"/>
  <c r="AZ160" i="6"/>
  <c r="AX160" i="6"/>
  <c r="BE160" i="6"/>
  <c r="AN160" i="6"/>
  <c r="BG160" i="6"/>
  <c r="BC160" i="6"/>
  <c r="AQ160" i="6"/>
  <c r="AD160" i="6"/>
  <c r="AU160" i="6"/>
  <c r="AM160" i="6"/>
  <c r="AP160" i="6"/>
  <c r="BA160" i="6"/>
  <c r="AV160" i="6"/>
  <c r="AG160" i="6"/>
  <c r="AH160" i="6"/>
  <c r="AE160" i="6"/>
  <c r="BD160" i="6"/>
  <c r="AR160" i="6"/>
  <c r="AJ160" i="6"/>
  <c r="AS160" i="6"/>
  <c r="AY160" i="6"/>
  <c r="BF160" i="6"/>
  <c r="G161" i="6"/>
  <c r="H161" i="6"/>
  <c r="T161" i="5" s="1"/>
  <c r="J162" i="12"/>
  <c r="L162" i="12"/>
  <c r="F163" i="5"/>
  <c r="C164" i="5"/>
  <c r="R163" i="5"/>
  <c r="N163" i="5"/>
  <c r="J163" i="5"/>
  <c r="B163" i="6"/>
  <c r="AE163" i="5"/>
  <c r="A163" i="12"/>
  <c r="H163" i="5"/>
  <c r="K163" i="5"/>
  <c r="AD163" i="5"/>
  <c r="W163" i="5"/>
  <c r="H163" i="12" s="1"/>
  <c r="G163" i="5"/>
  <c r="D163" i="5"/>
  <c r="B163" i="12" s="1"/>
  <c r="E163" i="5"/>
  <c r="B163" i="5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C159" i="5"/>
  <c r="F162" i="6"/>
  <c r="E162" i="12"/>
  <c r="D162" i="6"/>
  <c r="A161" i="6"/>
  <c r="AK160" i="6"/>
  <c r="AC160" i="6"/>
  <c r="AI160" i="6"/>
  <c r="AF160" i="6"/>
  <c r="AB160" i="6"/>
  <c r="AA158" i="5"/>
  <c r="AB158" i="5"/>
  <c r="C158" i="12"/>
  <c r="AO158" i="12"/>
  <c r="M158" i="12"/>
  <c r="O158" i="12"/>
  <c r="N157" i="12"/>
  <c r="AF164" i="5"/>
  <c r="W157" i="12" l="1"/>
  <c r="T157" i="12" s="1"/>
  <c r="AG164" i="5"/>
  <c r="S164" i="5"/>
  <c r="F164" i="12" s="1"/>
  <c r="A162" i="6"/>
  <c r="M161" i="6"/>
  <c r="AJ161" i="6" s="1"/>
  <c r="N158" i="12"/>
  <c r="Y158" i="12"/>
  <c r="C159" i="6"/>
  <c r="O159" i="5"/>
  <c r="T156" i="12"/>
  <c r="U156" i="12"/>
  <c r="V156" i="12"/>
  <c r="L163" i="12"/>
  <c r="J163" i="12"/>
  <c r="D163" i="6"/>
  <c r="A164" i="12"/>
  <c r="K164" i="5"/>
  <c r="D164" i="5"/>
  <c r="B164" i="12" s="1"/>
  <c r="E164" i="5"/>
  <c r="W164" i="5"/>
  <c r="H164" i="12" s="1"/>
  <c r="G164" i="5"/>
  <c r="N164" i="5"/>
  <c r="C165" i="5"/>
  <c r="B164" i="5"/>
  <c r="AD164" i="5"/>
  <c r="B164" i="6"/>
  <c r="J164" i="5"/>
  <c r="F164" i="5"/>
  <c r="R164" i="5"/>
  <c r="H164" i="5"/>
  <c r="AE164" i="5"/>
  <c r="G161" i="12"/>
  <c r="X161" i="5"/>
  <c r="H162" i="6"/>
  <c r="T162" i="5" s="1"/>
  <c r="G162" i="6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AC160" i="5"/>
  <c r="F163" i="6"/>
  <c r="E163" i="12"/>
  <c r="K162" i="12"/>
  <c r="AF165" i="5"/>
  <c r="U157" i="12" l="1"/>
  <c r="V157" i="12"/>
  <c r="Y159" i="12"/>
  <c r="W159" i="12" s="1"/>
  <c r="AU161" i="6"/>
  <c r="AM161" i="6"/>
  <c r="AR161" i="6"/>
  <c r="AV161" i="6"/>
  <c r="AK161" i="6"/>
  <c r="M162" i="6"/>
  <c r="AQ162" i="6" s="1"/>
  <c r="AH161" i="6"/>
  <c r="BE161" i="6"/>
  <c r="BA161" i="6"/>
  <c r="AG165" i="5"/>
  <c r="S165" i="5"/>
  <c r="F165" i="12" s="1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AC161" i="5"/>
  <c r="B165" i="6"/>
  <c r="G165" i="5"/>
  <c r="W165" i="5"/>
  <c r="H165" i="12" s="1"/>
  <c r="N165" i="5"/>
  <c r="H165" i="5"/>
  <c r="AD165" i="5"/>
  <c r="E165" i="5"/>
  <c r="C166" i="5"/>
  <c r="R165" i="5"/>
  <c r="AE165" i="5"/>
  <c r="K165" i="5"/>
  <c r="J165" i="5"/>
  <c r="F165" i="5"/>
  <c r="D165" i="5"/>
  <c r="B165" i="12" s="1"/>
  <c r="B165" i="5"/>
  <c r="A165" i="12"/>
  <c r="H163" i="6"/>
  <c r="T163" i="5" s="1"/>
  <c r="G163" i="6"/>
  <c r="A163" i="6"/>
  <c r="C160" i="12"/>
  <c r="M160" i="12"/>
  <c r="O160" i="12"/>
  <c r="AO160" i="12"/>
  <c r="C160" i="6"/>
  <c r="O160" i="5"/>
  <c r="N159" i="12"/>
  <c r="G162" i="12"/>
  <c r="X162" i="5"/>
  <c r="E164" i="12"/>
  <c r="F164" i="6"/>
  <c r="D164" i="6"/>
  <c r="L164" i="12"/>
  <c r="J164" i="12"/>
  <c r="K163" i="12"/>
  <c r="D159" i="12"/>
  <c r="E159" i="6"/>
  <c r="W158" i="12"/>
  <c r="X158" i="12"/>
  <c r="AF166" i="5"/>
  <c r="X159" i="12" l="1"/>
  <c r="BD162" i="6"/>
  <c r="AV162" i="6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AG166" i="5"/>
  <c r="S166" i="5"/>
  <c r="F166" i="12" s="1"/>
  <c r="A164" i="6"/>
  <c r="K164" i="12"/>
  <c r="U158" i="12"/>
  <c r="V158" i="12"/>
  <c r="T158" i="12"/>
  <c r="V159" i="12"/>
  <c r="T159" i="12"/>
  <c r="U159" i="12"/>
  <c r="E160" i="6"/>
  <c r="D160" i="12"/>
  <c r="M163" i="6"/>
  <c r="AF163" i="6" s="1"/>
  <c r="G163" i="12"/>
  <c r="X163" i="5"/>
  <c r="F165" i="6"/>
  <c r="E165" i="12"/>
  <c r="AA161" i="5"/>
  <c r="AB161" i="5"/>
  <c r="C161" i="12"/>
  <c r="AO161" i="12"/>
  <c r="M161" i="12"/>
  <c r="O161" i="12"/>
  <c r="H164" i="6"/>
  <c r="T164" i="5" s="1"/>
  <c r="G164" i="6"/>
  <c r="AM162" i="5"/>
  <c r="I162" i="12"/>
  <c r="L162" i="5"/>
  <c r="Z162" i="5"/>
  <c r="AC162" i="5"/>
  <c r="N160" i="12"/>
  <c r="J165" i="12"/>
  <c r="L165" i="12"/>
  <c r="E166" i="5"/>
  <c r="B166" i="5"/>
  <c r="R166" i="5"/>
  <c r="B166" i="6"/>
  <c r="K166" i="5"/>
  <c r="D166" i="5"/>
  <c r="B166" i="12" s="1"/>
  <c r="A166" i="12"/>
  <c r="F166" i="5"/>
  <c r="N166" i="5"/>
  <c r="W166" i="5"/>
  <c r="H166" i="12" s="1"/>
  <c r="C167" i="5"/>
  <c r="J166" i="5"/>
  <c r="G166" i="5"/>
  <c r="H166" i="5"/>
  <c r="AE166" i="5"/>
  <c r="AD166" i="5"/>
  <c r="D165" i="6"/>
  <c r="C161" i="6"/>
  <c r="O161" i="5"/>
  <c r="AF167" i="5"/>
  <c r="W160" i="12" l="1"/>
  <c r="T160" i="12" s="1"/>
  <c r="M164" i="6"/>
  <c r="AR164" i="6" s="1"/>
  <c r="AH163" i="6"/>
  <c r="AI163" i="6"/>
  <c r="K165" i="12"/>
  <c r="AG163" i="6"/>
  <c r="AK163" i="6"/>
  <c r="AG167" i="5"/>
  <c r="S167" i="5"/>
  <c r="F167" i="12" s="1"/>
  <c r="N161" i="12"/>
  <c r="D161" i="12"/>
  <c r="E161" i="6"/>
  <c r="H165" i="6"/>
  <c r="T165" i="5" s="1"/>
  <c r="G165" i="6"/>
  <c r="N167" i="5"/>
  <c r="A167" i="12"/>
  <c r="W167" i="5"/>
  <c r="H167" i="12" s="1"/>
  <c r="F167" i="5"/>
  <c r="H167" i="5"/>
  <c r="K167" i="5"/>
  <c r="C168" i="5"/>
  <c r="J167" i="5"/>
  <c r="D167" i="5"/>
  <c r="B167" i="12" s="1"/>
  <c r="AE167" i="5"/>
  <c r="AD167" i="5"/>
  <c r="G167" i="5"/>
  <c r="E167" i="5"/>
  <c r="B167" i="6"/>
  <c r="B167" i="5"/>
  <c r="R167" i="5"/>
  <c r="D166" i="6"/>
  <c r="AA162" i="5"/>
  <c r="AB162" i="5"/>
  <c r="C162" i="12"/>
  <c r="O162" i="12"/>
  <c r="AO162" i="12"/>
  <c r="M162" i="12"/>
  <c r="Y161" i="12"/>
  <c r="A165" i="6"/>
  <c r="M165" i="6" s="1"/>
  <c r="L166" i="12"/>
  <c r="J166" i="12"/>
  <c r="E166" i="12"/>
  <c r="F166" i="6"/>
  <c r="C162" i="6"/>
  <c r="O162" i="5"/>
  <c r="G164" i="12"/>
  <c r="X164" i="5"/>
  <c r="I163" i="12"/>
  <c r="L163" i="5"/>
  <c r="AM163" i="5"/>
  <c r="Z163" i="5"/>
  <c r="AC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F168" i="5"/>
  <c r="AN164" i="6" l="1"/>
  <c r="U160" i="12"/>
  <c r="AG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AG168" i="5"/>
  <c r="S168" i="5"/>
  <c r="F168" i="12" s="1"/>
  <c r="Y162" i="12"/>
  <c r="X162" i="12" s="1"/>
  <c r="BB165" i="6"/>
  <c r="BC165" i="6"/>
  <c r="AM165" i="6"/>
  <c r="AS165" i="6"/>
  <c r="AT165" i="6"/>
  <c r="BD165" i="6"/>
  <c r="AU165" i="6"/>
  <c r="BE165" i="6"/>
  <c r="AN165" i="6"/>
  <c r="AX165" i="6"/>
  <c r="AZ165" i="6"/>
  <c r="AO165" i="6"/>
  <c r="AP165" i="6"/>
  <c r="AR165" i="6"/>
  <c r="AE165" i="6"/>
  <c r="AJ165" i="6"/>
  <c r="AK165" i="6"/>
  <c r="BG165" i="6"/>
  <c r="AY165" i="6"/>
  <c r="AV165" i="6"/>
  <c r="AI165" i="6"/>
  <c r="BF165" i="6"/>
  <c r="AQ165" i="6"/>
  <c r="BA165" i="6"/>
  <c r="AF165" i="6"/>
  <c r="C163" i="6"/>
  <c r="O163" i="5"/>
  <c r="AM164" i="5"/>
  <c r="I164" i="12"/>
  <c r="L164" i="5"/>
  <c r="Z164" i="5"/>
  <c r="AC164" i="5"/>
  <c r="W161" i="12"/>
  <c r="X161" i="12"/>
  <c r="L167" i="12"/>
  <c r="J167" i="12"/>
  <c r="G165" i="12"/>
  <c r="X165" i="5"/>
  <c r="AA163" i="5"/>
  <c r="AB163" i="5"/>
  <c r="C163" i="12"/>
  <c r="M163" i="12"/>
  <c r="AO163" i="12"/>
  <c r="O163" i="12"/>
  <c r="D162" i="12"/>
  <c r="E162" i="6"/>
  <c r="K166" i="12"/>
  <c r="N162" i="12"/>
  <c r="A166" i="6"/>
  <c r="G166" i="6"/>
  <c r="H166" i="6"/>
  <c r="T166" i="5" s="1"/>
  <c r="F167" i="6"/>
  <c r="E167" i="12"/>
  <c r="F168" i="5"/>
  <c r="G168" i="5"/>
  <c r="A168" i="12"/>
  <c r="E168" i="5"/>
  <c r="W168" i="5"/>
  <c r="H168" i="12" s="1"/>
  <c r="B168" i="6"/>
  <c r="AD168" i="5"/>
  <c r="B168" i="5"/>
  <c r="K168" i="5"/>
  <c r="D168" i="5"/>
  <c r="B168" i="12" s="1"/>
  <c r="J168" i="5"/>
  <c r="H168" i="5"/>
  <c r="C169" i="5"/>
  <c r="R168" i="5"/>
  <c r="N168" i="5"/>
  <c r="AE168" i="5"/>
  <c r="D167" i="6"/>
  <c r="AC165" i="6"/>
  <c r="AB165" i="6"/>
  <c r="AH165" i="6"/>
  <c r="AG165" i="6"/>
  <c r="AD165" i="6"/>
  <c r="AF169" i="5"/>
  <c r="N163" i="12" l="1"/>
  <c r="W162" i="12"/>
  <c r="V162" i="12" s="1"/>
  <c r="A167" i="6"/>
  <c r="M166" i="6"/>
  <c r="AO166" i="6" s="1"/>
  <c r="S169" i="5"/>
  <c r="F169" i="12" s="1"/>
  <c r="AG169" i="5"/>
  <c r="K167" i="12"/>
  <c r="E168" i="12"/>
  <c r="F168" i="6"/>
  <c r="G166" i="12"/>
  <c r="X166" i="5"/>
  <c r="I165" i="12"/>
  <c r="AM165" i="5"/>
  <c r="L165" i="5"/>
  <c r="Z165" i="5"/>
  <c r="AC165" i="5"/>
  <c r="T161" i="12"/>
  <c r="V161" i="12"/>
  <c r="U161" i="12"/>
  <c r="AB164" i="5"/>
  <c r="AA164" i="5"/>
  <c r="C164" i="6"/>
  <c r="O164" i="5"/>
  <c r="H167" i="6"/>
  <c r="T167" i="5" s="1"/>
  <c r="G167" i="6"/>
  <c r="D168" i="6"/>
  <c r="H169" i="5"/>
  <c r="B169" i="5"/>
  <c r="W169" i="5"/>
  <c r="H169" i="12" s="1"/>
  <c r="K169" i="5"/>
  <c r="R169" i="5"/>
  <c r="N169" i="5"/>
  <c r="A169" i="12"/>
  <c r="J169" i="5"/>
  <c r="AD169" i="5"/>
  <c r="D169" i="5"/>
  <c r="B169" i="12" s="1"/>
  <c r="F169" i="5"/>
  <c r="C170" i="5"/>
  <c r="E169" i="5"/>
  <c r="G169" i="5"/>
  <c r="AE169" i="5"/>
  <c r="B169" i="6"/>
  <c r="L168" i="12"/>
  <c r="J168" i="12"/>
  <c r="Y163" i="12"/>
  <c r="C164" i="12"/>
  <c r="O164" i="12"/>
  <c r="AO164" i="12"/>
  <c r="M164" i="12"/>
  <c r="E163" i="6"/>
  <c r="D163" i="12"/>
  <c r="AF170" i="5"/>
  <c r="U162" i="12" l="1"/>
  <c r="AI166" i="6"/>
  <c r="AE166" i="6"/>
  <c r="T162" i="12"/>
  <c r="AB166" i="6"/>
  <c r="AH166" i="6"/>
  <c r="M167" i="6"/>
  <c r="BD167" i="6" s="1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AG170" i="5"/>
  <c r="S170" i="5"/>
  <c r="F170" i="12" s="1"/>
  <c r="K168" i="12"/>
  <c r="N164" i="12"/>
  <c r="X163" i="12"/>
  <c r="W163" i="12"/>
  <c r="J169" i="12"/>
  <c r="L169" i="12"/>
  <c r="E169" i="12"/>
  <c r="F169" i="6"/>
  <c r="G168" i="6"/>
  <c r="H168" i="6"/>
  <c r="T168" i="5" s="1"/>
  <c r="G167" i="12"/>
  <c r="X167" i="5"/>
  <c r="AA165" i="5"/>
  <c r="AB165" i="5"/>
  <c r="C165" i="6"/>
  <c r="O165" i="5"/>
  <c r="C165" i="12"/>
  <c r="M165" i="12"/>
  <c r="AO165" i="12"/>
  <c r="O165" i="12"/>
  <c r="Y164" i="12"/>
  <c r="B170" i="5"/>
  <c r="G170" i="5"/>
  <c r="E170" i="5"/>
  <c r="D170" i="5"/>
  <c r="B170" i="12" s="1"/>
  <c r="H170" i="5"/>
  <c r="W170" i="5"/>
  <c r="H170" i="12" s="1"/>
  <c r="J170" i="5"/>
  <c r="AE170" i="5"/>
  <c r="F170" i="5"/>
  <c r="AD170" i="5"/>
  <c r="K170" i="5"/>
  <c r="A170" i="12"/>
  <c r="B170" i="6"/>
  <c r="N170" i="5"/>
  <c r="R170" i="5"/>
  <c r="C171" i="5"/>
  <c r="D169" i="6"/>
  <c r="D164" i="12"/>
  <c r="E164" i="6"/>
  <c r="I166" i="12"/>
  <c r="AM166" i="5"/>
  <c r="L166" i="5"/>
  <c r="Z166" i="5"/>
  <c r="AC166" i="5"/>
  <c r="A168" i="6"/>
  <c r="M168" i="6" s="1"/>
  <c r="AF171" i="5"/>
  <c r="AJ167" i="6" l="1"/>
  <c r="AY167" i="6"/>
  <c r="AQ167" i="6"/>
  <c r="BC167" i="6"/>
  <c r="BA167" i="6"/>
  <c r="BE167" i="6"/>
  <c r="AV167" i="6"/>
  <c r="AP167" i="6"/>
  <c r="AH167" i="6"/>
  <c r="AX167" i="6"/>
  <c r="AF167" i="6"/>
  <c r="AB167" i="6"/>
  <c r="AD167" i="6"/>
  <c r="AI167" i="6"/>
  <c r="AZ167" i="6"/>
  <c r="BB167" i="6"/>
  <c r="AM167" i="6"/>
  <c r="AE167" i="6"/>
  <c r="AG167" i="6"/>
  <c r="AK167" i="6"/>
  <c r="AN167" i="6"/>
  <c r="BG167" i="6"/>
  <c r="AU167" i="6"/>
  <c r="AO167" i="6"/>
  <c r="BF167" i="6"/>
  <c r="AS167" i="6"/>
  <c r="AC167" i="6"/>
  <c r="AR167" i="6"/>
  <c r="AT167" i="6"/>
  <c r="N165" i="12"/>
  <c r="S171" i="5"/>
  <c r="F171" i="12" s="1"/>
  <c r="AG171" i="5"/>
  <c r="Y165" i="12"/>
  <c r="X165" i="12" s="1"/>
  <c r="AU168" i="6"/>
  <c r="BF168" i="6"/>
  <c r="BC168" i="6"/>
  <c r="BE168" i="6"/>
  <c r="AS168" i="6"/>
  <c r="AR168" i="6"/>
  <c r="AN168" i="6"/>
  <c r="AV168" i="6"/>
  <c r="BD168" i="6"/>
  <c r="AO168" i="6"/>
  <c r="AM168" i="6"/>
  <c r="AQ168" i="6"/>
  <c r="AX168" i="6"/>
  <c r="AJ168" i="6"/>
  <c r="BG168" i="6"/>
  <c r="BB168" i="6"/>
  <c r="AY168" i="6"/>
  <c r="BA168" i="6"/>
  <c r="AP168" i="6"/>
  <c r="AT168" i="6"/>
  <c r="AZ168" i="6"/>
  <c r="AB166" i="5"/>
  <c r="AA166" i="5"/>
  <c r="F170" i="6"/>
  <c r="E170" i="12"/>
  <c r="J170" i="12"/>
  <c r="L170" i="12"/>
  <c r="X164" i="12"/>
  <c r="W164" i="12"/>
  <c r="AM167" i="5"/>
  <c r="I167" i="12"/>
  <c r="L167" i="5"/>
  <c r="Z167" i="5"/>
  <c r="AC167" i="5"/>
  <c r="G168" i="12"/>
  <c r="X168" i="5"/>
  <c r="AE168" i="6"/>
  <c r="AG168" i="6"/>
  <c r="AB168" i="6"/>
  <c r="AK168" i="6"/>
  <c r="AD168" i="6"/>
  <c r="C166" i="6"/>
  <c r="O166" i="5"/>
  <c r="C166" i="12"/>
  <c r="AO166" i="12"/>
  <c r="O166" i="12"/>
  <c r="M166" i="12"/>
  <c r="H169" i="6"/>
  <c r="T169" i="5" s="1"/>
  <c r="G169" i="6"/>
  <c r="D171" i="5"/>
  <c r="B171" i="12" s="1"/>
  <c r="AD171" i="5"/>
  <c r="B171" i="5"/>
  <c r="H171" i="5"/>
  <c r="B171" i="6"/>
  <c r="AE171" i="5"/>
  <c r="J171" i="5"/>
  <c r="W171" i="5"/>
  <c r="H171" i="12" s="1"/>
  <c r="G171" i="5"/>
  <c r="K171" i="5"/>
  <c r="F171" i="5"/>
  <c r="C172" i="5"/>
  <c r="N171" i="5"/>
  <c r="A171" i="12"/>
  <c r="R171" i="5"/>
  <c r="E171" i="5"/>
  <c r="D170" i="6"/>
  <c r="A169" i="6"/>
  <c r="M169" i="6" s="1"/>
  <c r="E165" i="6"/>
  <c r="D165" i="12"/>
  <c r="AH168" i="6"/>
  <c r="AF168" i="6"/>
  <c r="AC168" i="6"/>
  <c r="AI168" i="6"/>
  <c r="K169" i="12"/>
  <c r="T163" i="12"/>
  <c r="U163" i="12"/>
  <c r="V163" i="12"/>
  <c r="AF172" i="5"/>
  <c r="W165" i="12" l="1"/>
  <c r="V165" i="12" s="1"/>
  <c r="AG172" i="5"/>
  <c r="S172" i="5"/>
  <c r="F172" i="12" s="1"/>
  <c r="A170" i="6"/>
  <c r="M170" i="6" s="1"/>
  <c r="BA170" i="6" s="1"/>
  <c r="AX169" i="6"/>
  <c r="BC169" i="6"/>
  <c r="BG169" i="6"/>
  <c r="BB169" i="6"/>
  <c r="BA169" i="6"/>
  <c r="AR169" i="6"/>
  <c r="BD169" i="6"/>
  <c r="AQ169" i="6"/>
  <c r="AT169" i="6"/>
  <c r="BE169" i="6"/>
  <c r="AH169" i="6"/>
  <c r="AO169" i="6"/>
  <c r="AC169" i="6"/>
  <c r="AB169" i="6"/>
  <c r="AD169" i="6"/>
  <c r="N166" i="12"/>
  <c r="H170" i="6"/>
  <c r="T170" i="5" s="1"/>
  <c r="G170" i="6"/>
  <c r="L171" i="12"/>
  <c r="J171" i="12"/>
  <c r="J172" i="5"/>
  <c r="F172" i="5"/>
  <c r="B172" i="6"/>
  <c r="W172" i="5"/>
  <c r="H172" i="12" s="1"/>
  <c r="H172" i="5"/>
  <c r="G172" i="5"/>
  <c r="R172" i="5"/>
  <c r="AE172" i="5"/>
  <c r="D172" i="5"/>
  <c r="B172" i="12" s="1"/>
  <c r="C173" i="5"/>
  <c r="K172" i="5"/>
  <c r="AD172" i="5"/>
  <c r="B172" i="5"/>
  <c r="E172" i="5"/>
  <c r="N172" i="5"/>
  <c r="A172" i="12"/>
  <c r="L168" i="5"/>
  <c r="I168" i="12"/>
  <c r="AM168" i="5"/>
  <c r="Z168" i="5"/>
  <c r="AC168" i="5"/>
  <c r="AB167" i="5"/>
  <c r="AA167" i="5"/>
  <c r="C167" i="12"/>
  <c r="O167" i="12"/>
  <c r="AO167" i="12"/>
  <c r="M167" i="12"/>
  <c r="T164" i="12"/>
  <c r="U164" i="12"/>
  <c r="V164" i="12"/>
  <c r="F171" i="6"/>
  <c r="E171" i="12"/>
  <c r="D171" i="6"/>
  <c r="AE169" i="6"/>
  <c r="AN169" i="6"/>
  <c r="AS169" i="6"/>
  <c r="AV169" i="6"/>
  <c r="AJ169" i="6"/>
  <c r="AG169" i="6"/>
  <c r="BF169" i="6"/>
  <c r="AY169" i="6"/>
  <c r="G169" i="12"/>
  <c r="X169" i="5"/>
  <c r="AF169" i="6"/>
  <c r="AK169" i="6"/>
  <c r="AP169" i="6"/>
  <c r="AU169" i="6"/>
  <c r="AM169" i="6"/>
  <c r="AZ169" i="6"/>
  <c r="AI169" i="6"/>
  <c r="Y166" i="12"/>
  <c r="D166" i="12"/>
  <c r="E166" i="6"/>
  <c r="C167" i="6"/>
  <c r="O167" i="5"/>
  <c r="K170" i="12"/>
  <c r="AF173" i="5"/>
  <c r="U165" i="12" l="1"/>
  <c r="T165" i="12"/>
  <c r="AF170" i="6"/>
  <c r="S173" i="5"/>
  <c r="F173" i="12" s="1"/>
  <c r="AG173" i="5"/>
  <c r="BF170" i="6"/>
  <c r="AP170" i="6"/>
  <c r="AR170" i="6"/>
  <c r="AK170" i="6"/>
  <c r="AH170" i="6"/>
  <c r="BG170" i="6"/>
  <c r="G171" i="6"/>
  <c r="H171" i="6"/>
  <c r="T171" i="5" s="1"/>
  <c r="N167" i="12"/>
  <c r="AA168" i="5"/>
  <c r="AB168" i="5"/>
  <c r="C168" i="12"/>
  <c r="M168" i="12"/>
  <c r="AO168" i="12"/>
  <c r="O168" i="12"/>
  <c r="A171" i="6"/>
  <c r="M171" i="6" s="1"/>
  <c r="L172" i="12"/>
  <c r="J172" i="12"/>
  <c r="E172" i="12"/>
  <c r="F172" i="6"/>
  <c r="AB170" i="6"/>
  <c r="AC170" i="6"/>
  <c r="AY170" i="6"/>
  <c r="AN170" i="6"/>
  <c r="AV170" i="6"/>
  <c r="BC170" i="6"/>
  <c r="AZ170" i="6"/>
  <c r="AT170" i="6"/>
  <c r="G170" i="12"/>
  <c r="X170" i="5"/>
  <c r="E167" i="6"/>
  <c r="D167" i="12"/>
  <c r="W166" i="12"/>
  <c r="X166" i="12"/>
  <c r="I169" i="12"/>
  <c r="L169" i="5"/>
  <c r="AM169" i="5"/>
  <c r="Z169" i="5"/>
  <c r="AC169" i="5"/>
  <c r="Y167" i="12"/>
  <c r="C168" i="6"/>
  <c r="O168" i="5"/>
  <c r="D172" i="6"/>
  <c r="K173" i="5"/>
  <c r="B173" i="5"/>
  <c r="H173" i="5"/>
  <c r="W173" i="5"/>
  <c r="H173" i="12" s="1"/>
  <c r="B173" i="6"/>
  <c r="C174" i="5"/>
  <c r="AD173" i="5"/>
  <c r="R173" i="5"/>
  <c r="E173" i="5"/>
  <c r="AE173" i="5"/>
  <c r="A173" i="12"/>
  <c r="F173" i="5"/>
  <c r="G173" i="5"/>
  <c r="N173" i="5"/>
  <c r="D173" i="5"/>
  <c r="B173" i="12" s="1"/>
  <c r="J173" i="5"/>
  <c r="K171" i="12"/>
  <c r="AE170" i="6"/>
  <c r="AO170" i="6"/>
  <c r="AQ170" i="6"/>
  <c r="BD170" i="6"/>
  <c r="AU170" i="6"/>
  <c r="BB170" i="6"/>
  <c r="AX170" i="6"/>
  <c r="AJ170" i="6"/>
  <c r="BE170" i="6"/>
  <c r="AM170" i="6"/>
  <c r="AD170" i="6"/>
  <c r="AG170" i="6"/>
  <c r="AS170" i="6"/>
  <c r="AI170" i="6"/>
  <c r="AF174" i="5"/>
  <c r="N168" i="12" l="1"/>
  <c r="Y168" i="12"/>
  <c r="X168" i="12" s="1"/>
  <c r="AG174" i="5"/>
  <c r="S174" i="5"/>
  <c r="F174" i="12" s="1"/>
  <c r="AX171" i="6"/>
  <c r="AZ171" i="6"/>
  <c r="AN171" i="6"/>
  <c r="AR171" i="6"/>
  <c r="AU171" i="6"/>
  <c r="BE171" i="6"/>
  <c r="BB171" i="6"/>
  <c r="BG171" i="6"/>
  <c r="AV171" i="6"/>
  <c r="AQ171" i="6"/>
  <c r="AM171" i="6"/>
  <c r="AF171" i="6"/>
  <c r="BA171" i="6"/>
  <c r="AD171" i="6"/>
  <c r="AS171" i="6"/>
  <c r="BD171" i="6"/>
  <c r="AC171" i="6"/>
  <c r="BF171" i="6"/>
  <c r="AE171" i="6"/>
  <c r="AO171" i="6"/>
  <c r="AY171" i="6"/>
  <c r="BC171" i="6"/>
  <c r="AK171" i="6"/>
  <c r="AH171" i="6"/>
  <c r="AP171" i="6"/>
  <c r="AT171" i="6"/>
  <c r="AI171" i="6"/>
  <c r="D173" i="6"/>
  <c r="G172" i="6"/>
  <c r="H172" i="6"/>
  <c r="T172" i="5" s="1"/>
  <c r="C169" i="6"/>
  <c r="O169" i="5"/>
  <c r="I170" i="12"/>
  <c r="AM170" i="5"/>
  <c r="L170" i="5"/>
  <c r="Z170" i="5"/>
  <c r="AC170" i="5"/>
  <c r="A172" i="6"/>
  <c r="M172" i="6" s="1"/>
  <c r="J173" i="12"/>
  <c r="L173" i="12"/>
  <c r="E173" i="12"/>
  <c r="F173" i="6"/>
  <c r="B174" i="6"/>
  <c r="K174" i="5"/>
  <c r="C175" i="5"/>
  <c r="N174" i="5"/>
  <c r="AD174" i="5"/>
  <c r="E174" i="5"/>
  <c r="W174" i="5"/>
  <c r="H174" i="12" s="1"/>
  <c r="H174" i="5"/>
  <c r="D174" i="5"/>
  <c r="B174" i="12" s="1"/>
  <c r="AE174" i="5"/>
  <c r="J174" i="5"/>
  <c r="B174" i="5"/>
  <c r="F174" i="5"/>
  <c r="G174" i="5"/>
  <c r="A174" i="12"/>
  <c r="R174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K172" i="12"/>
  <c r="G171" i="12"/>
  <c r="X171" i="5"/>
  <c r="AG171" i="6"/>
  <c r="AB171" i="6"/>
  <c r="AJ171" i="6"/>
  <c r="AF175" i="5"/>
  <c r="W168" i="12" l="1"/>
  <c r="U168" i="12" s="1"/>
  <c r="S175" i="5"/>
  <c r="F175" i="12" s="1"/>
  <c r="AG175" i="5"/>
  <c r="Y169" i="12"/>
  <c r="W169" i="12" s="1"/>
  <c r="A173" i="6"/>
  <c r="M173" i="6" s="1"/>
  <c r="BE172" i="6"/>
  <c r="BB172" i="6"/>
  <c r="AM172" i="6"/>
  <c r="BG172" i="6"/>
  <c r="AQ172" i="6"/>
  <c r="AI172" i="6"/>
  <c r="AK172" i="6"/>
  <c r="AO172" i="6"/>
  <c r="BC172" i="6"/>
  <c r="AF172" i="6"/>
  <c r="BF172" i="6"/>
  <c r="AZ172" i="6"/>
  <c r="AH172" i="6"/>
  <c r="AJ172" i="6"/>
  <c r="AB172" i="6"/>
  <c r="AU172" i="6"/>
  <c r="BA172" i="6"/>
  <c r="AS172" i="6"/>
  <c r="AV172" i="6"/>
  <c r="AR172" i="6"/>
  <c r="AD172" i="6"/>
  <c r="AY172" i="6"/>
  <c r="AP172" i="6"/>
  <c r="AN172" i="6"/>
  <c r="AG172" i="6"/>
  <c r="BD172" i="6"/>
  <c r="AX172" i="6"/>
  <c r="AT172" i="6"/>
  <c r="AM171" i="5"/>
  <c r="I171" i="12"/>
  <c r="L171" i="5"/>
  <c r="Z171" i="5"/>
  <c r="AC171" i="5"/>
  <c r="F174" i="6"/>
  <c r="E174" i="12"/>
  <c r="D174" i="6"/>
  <c r="E169" i="6"/>
  <c r="D169" i="12"/>
  <c r="H173" i="6"/>
  <c r="T173" i="5" s="1"/>
  <c r="G173" i="6"/>
  <c r="N169" i="12"/>
  <c r="V167" i="12"/>
  <c r="U167" i="12"/>
  <c r="T167" i="12"/>
  <c r="J174" i="12"/>
  <c r="L174" i="12"/>
  <c r="H175" i="5"/>
  <c r="G175" i="5"/>
  <c r="AD175" i="5"/>
  <c r="A175" i="12"/>
  <c r="B175" i="5"/>
  <c r="D175" i="5"/>
  <c r="B175" i="12" s="1"/>
  <c r="B175" i="6"/>
  <c r="C176" i="5"/>
  <c r="E175" i="5"/>
  <c r="K175" i="5"/>
  <c r="N175" i="5"/>
  <c r="AE175" i="5"/>
  <c r="F175" i="5"/>
  <c r="W175" i="5"/>
  <c r="H175" i="12" s="1"/>
  <c r="J175" i="5"/>
  <c r="R175" i="5"/>
  <c r="K173" i="12"/>
  <c r="AB170" i="5"/>
  <c r="AA170" i="5"/>
  <c r="C170" i="6"/>
  <c r="O170" i="5"/>
  <c r="C170" i="12"/>
  <c r="O170" i="12"/>
  <c r="AO170" i="12"/>
  <c r="M170" i="12"/>
  <c r="G172" i="12"/>
  <c r="X172" i="5"/>
  <c r="AE172" i="6"/>
  <c r="AC172" i="6"/>
  <c r="AF176" i="5"/>
  <c r="V168" i="12" l="1"/>
  <c r="T168" i="12"/>
  <c r="X169" i="12"/>
  <c r="S176" i="5"/>
  <c r="F176" i="12" s="1"/>
  <c r="AG176" i="5"/>
  <c r="BF173" i="6"/>
  <c r="AY173" i="6"/>
  <c r="AM173" i="6"/>
  <c r="AD173" i="6"/>
  <c r="AT173" i="6"/>
  <c r="AF173" i="6"/>
  <c r="BB173" i="6"/>
  <c r="BE173" i="6"/>
  <c r="BG173" i="6"/>
  <c r="AI173" i="6"/>
  <c r="AB173" i="6"/>
  <c r="BD173" i="6"/>
  <c r="AG173" i="6"/>
  <c r="BA173" i="6"/>
  <c r="AJ173" i="6"/>
  <c r="I172" i="12"/>
  <c r="AM172" i="5"/>
  <c r="L172" i="5"/>
  <c r="Z172" i="5"/>
  <c r="AC172" i="5"/>
  <c r="N170" i="12"/>
  <c r="D170" i="12"/>
  <c r="E170" i="6"/>
  <c r="B176" i="5"/>
  <c r="AD176" i="5"/>
  <c r="C177" i="5"/>
  <c r="N176" i="5"/>
  <c r="E176" i="5"/>
  <c r="G176" i="5"/>
  <c r="B176" i="6"/>
  <c r="A176" i="12"/>
  <c r="J176" i="5"/>
  <c r="K176" i="5"/>
  <c r="W176" i="5"/>
  <c r="H176" i="12" s="1"/>
  <c r="F176" i="5"/>
  <c r="AE176" i="5"/>
  <c r="H176" i="5"/>
  <c r="D176" i="5"/>
  <c r="B176" i="12" s="1"/>
  <c r="R176" i="5"/>
  <c r="J175" i="12"/>
  <c r="L175" i="12"/>
  <c r="G173" i="12"/>
  <c r="X173" i="5"/>
  <c r="H174" i="6"/>
  <c r="T174" i="5" s="1"/>
  <c r="G174" i="6"/>
  <c r="V169" i="12"/>
  <c r="T169" i="12"/>
  <c r="U169" i="12"/>
  <c r="AA171" i="5"/>
  <c r="AB171" i="5"/>
  <c r="C171" i="12"/>
  <c r="M171" i="12"/>
  <c r="AO171" i="12"/>
  <c r="O171" i="12"/>
  <c r="Y170" i="12"/>
  <c r="A174" i="6"/>
  <c r="E175" i="12"/>
  <c r="F175" i="6"/>
  <c r="D175" i="6"/>
  <c r="K174" i="12"/>
  <c r="AK173" i="6"/>
  <c r="AU173" i="6"/>
  <c r="AO173" i="6"/>
  <c r="AZ173" i="6"/>
  <c r="AE173" i="6"/>
  <c r="AP173" i="6"/>
  <c r="AR173" i="6"/>
  <c r="AN173" i="6"/>
  <c r="AQ173" i="6"/>
  <c r="AC173" i="6"/>
  <c r="AH173" i="6"/>
  <c r="AV173" i="6"/>
  <c r="AX173" i="6"/>
  <c r="BC173" i="6"/>
  <c r="AS173" i="6"/>
  <c r="C171" i="6"/>
  <c r="O171" i="5"/>
  <c r="AF177" i="5"/>
  <c r="N171" i="12" l="1"/>
  <c r="A175" i="6"/>
  <c r="S177" i="5"/>
  <c r="F177" i="12" s="1"/>
  <c r="AG177" i="5"/>
  <c r="K175" i="12"/>
  <c r="Y171" i="12"/>
  <c r="W171" i="12" s="1"/>
  <c r="M174" i="6"/>
  <c r="BD174" i="6" s="1"/>
  <c r="E171" i="6"/>
  <c r="D171" i="12"/>
  <c r="G175" i="6"/>
  <c r="H175" i="6"/>
  <c r="T175" i="5" s="1"/>
  <c r="W170" i="12"/>
  <c r="X170" i="12"/>
  <c r="L173" i="5"/>
  <c r="AM173" i="5"/>
  <c r="I173" i="12"/>
  <c r="Z173" i="5"/>
  <c r="AC173" i="5"/>
  <c r="F176" i="6"/>
  <c r="E176" i="12"/>
  <c r="AE177" i="5"/>
  <c r="A177" i="12"/>
  <c r="G177" i="5"/>
  <c r="F177" i="5"/>
  <c r="J177" i="5"/>
  <c r="B177" i="5"/>
  <c r="B177" i="6"/>
  <c r="W177" i="5"/>
  <c r="H177" i="12" s="1"/>
  <c r="AD177" i="5"/>
  <c r="H177" i="5"/>
  <c r="N177" i="5"/>
  <c r="K177" i="5"/>
  <c r="E177" i="5"/>
  <c r="D177" i="5"/>
  <c r="B177" i="12" s="1"/>
  <c r="C178" i="5"/>
  <c r="R177" i="5"/>
  <c r="AA172" i="5"/>
  <c r="AB172" i="5"/>
  <c r="G174" i="12"/>
  <c r="X174" i="5"/>
  <c r="L176" i="12"/>
  <c r="J176" i="12"/>
  <c r="D176" i="6"/>
  <c r="C172" i="6"/>
  <c r="O172" i="5"/>
  <c r="C172" i="12"/>
  <c r="O172" i="12"/>
  <c r="AO172" i="12"/>
  <c r="M172" i="12"/>
  <c r="AF178" i="5"/>
  <c r="AM174" i="6" l="1"/>
  <c r="AS174" i="6"/>
  <c r="AR174" i="6"/>
  <c r="AB174" i="6"/>
  <c r="AY174" i="6"/>
  <c r="AG174" i="6"/>
  <c r="AP174" i="6"/>
  <c r="BA174" i="6"/>
  <c r="AJ174" i="6"/>
  <c r="AQ174" i="6"/>
  <c r="AC174" i="6"/>
  <c r="M175" i="6"/>
  <c r="AP175" i="6" s="1"/>
  <c r="X171" i="12"/>
  <c r="AG178" i="5"/>
  <c r="S178" i="5"/>
  <c r="F178" i="12" s="1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G176" i="6"/>
  <c r="H176" i="6"/>
  <c r="T176" i="5" s="1"/>
  <c r="L174" i="5"/>
  <c r="AM174" i="5"/>
  <c r="I174" i="12"/>
  <c r="Z174" i="5"/>
  <c r="AC174" i="5"/>
  <c r="J178" i="5"/>
  <c r="AD178" i="5"/>
  <c r="G178" i="5"/>
  <c r="H178" i="5"/>
  <c r="W178" i="5"/>
  <c r="H178" i="12" s="1"/>
  <c r="B178" i="6"/>
  <c r="D178" i="5"/>
  <c r="B178" i="12" s="1"/>
  <c r="K178" i="5"/>
  <c r="B178" i="5"/>
  <c r="AE178" i="5"/>
  <c r="E178" i="5"/>
  <c r="N178" i="5"/>
  <c r="R178" i="5"/>
  <c r="A178" i="12"/>
  <c r="C179" i="5"/>
  <c r="F178" i="5"/>
  <c r="D177" i="6"/>
  <c r="J177" i="12"/>
  <c r="L177" i="12"/>
  <c r="A176" i="6"/>
  <c r="C173" i="12"/>
  <c r="AO173" i="12"/>
  <c r="O173" i="12"/>
  <c r="M173" i="12"/>
  <c r="C173" i="6"/>
  <c r="O173" i="5"/>
  <c r="V171" i="12"/>
  <c r="T171" i="12"/>
  <c r="U171" i="12"/>
  <c r="G175" i="12"/>
  <c r="X175" i="5"/>
  <c r="N172" i="12"/>
  <c r="E172" i="6"/>
  <c r="D172" i="12"/>
  <c r="K176" i="12"/>
  <c r="E177" i="12"/>
  <c r="F177" i="6"/>
  <c r="AB173" i="5"/>
  <c r="AA173" i="5"/>
  <c r="T170" i="12"/>
  <c r="V170" i="12"/>
  <c r="U170" i="12"/>
  <c r="AF179" i="5"/>
  <c r="AE175" i="6" l="1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AG179" i="5"/>
  <c r="S179" i="5"/>
  <c r="F179" i="12" s="1"/>
  <c r="K177" i="12"/>
  <c r="Y173" i="12"/>
  <c r="X173" i="12" s="1"/>
  <c r="D173" i="12"/>
  <c r="E173" i="6"/>
  <c r="L178" i="12"/>
  <c r="J178" i="12"/>
  <c r="AB174" i="5"/>
  <c r="AA174" i="5"/>
  <c r="G176" i="12"/>
  <c r="X176" i="5"/>
  <c r="A177" i="6"/>
  <c r="AM175" i="5"/>
  <c r="I175" i="12"/>
  <c r="L175" i="5"/>
  <c r="Z175" i="5"/>
  <c r="AC175" i="5"/>
  <c r="N173" i="12"/>
  <c r="G177" i="6"/>
  <c r="H177" i="6"/>
  <c r="T177" i="5" s="1"/>
  <c r="C180" i="5"/>
  <c r="W179" i="5"/>
  <c r="H179" i="12" s="1"/>
  <c r="B179" i="6"/>
  <c r="K179" i="5"/>
  <c r="B179" i="5"/>
  <c r="J179" i="5"/>
  <c r="G179" i="5"/>
  <c r="N179" i="5"/>
  <c r="A179" i="12"/>
  <c r="R179" i="5"/>
  <c r="F179" i="5"/>
  <c r="AE179" i="5"/>
  <c r="AD179" i="5"/>
  <c r="D179" i="5"/>
  <c r="B179" i="12" s="1"/>
  <c r="H179" i="5"/>
  <c r="E179" i="5"/>
  <c r="F178" i="6"/>
  <c r="E178" i="12"/>
  <c r="D178" i="6"/>
  <c r="C174" i="12"/>
  <c r="M174" i="12"/>
  <c r="AO174" i="12"/>
  <c r="O174" i="12"/>
  <c r="C174" i="6"/>
  <c r="O174" i="5"/>
  <c r="M176" i="6"/>
  <c r="AF180" i="5"/>
  <c r="N174" i="12" l="1"/>
  <c r="M177" i="6"/>
  <c r="AM177" i="6" s="1"/>
  <c r="V172" i="12"/>
  <c r="T172" i="12"/>
  <c r="W173" i="12"/>
  <c r="T173" i="12" s="1"/>
  <c r="S180" i="5"/>
  <c r="F180" i="12" s="1"/>
  <c r="AG180" i="5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H178" i="6"/>
  <c r="T178" i="5" s="1"/>
  <c r="G178" i="6"/>
  <c r="F179" i="6"/>
  <c r="E179" i="12"/>
  <c r="D179" i="6"/>
  <c r="A180" i="12"/>
  <c r="K180" i="5"/>
  <c r="J180" i="5"/>
  <c r="H180" i="5"/>
  <c r="R180" i="5"/>
  <c r="AD180" i="5"/>
  <c r="N180" i="5"/>
  <c r="G180" i="5"/>
  <c r="D180" i="5"/>
  <c r="B180" i="12" s="1"/>
  <c r="E180" i="5"/>
  <c r="AE180" i="5"/>
  <c r="B180" i="6"/>
  <c r="B180" i="5"/>
  <c r="F180" i="5"/>
  <c r="W180" i="5"/>
  <c r="H180" i="12" s="1"/>
  <c r="C181" i="5"/>
  <c r="AB175" i="5"/>
  <c r="AA175" i="5"/>
  <c r="C175" i="12"/>
  <c r="M175" i="12"/>
  <c r="O175" i="12"/>
  <c r="AO175" i="12"/>
  <c r="AG176" i="6"/>
  <c r="I176" i="12"/>
  <c r="AM176" i="5"/>
  <c r="L176" i="5"/>
  <c r="Z176" i="5"/>
  <c r="AC176" i="5"/>
  <c r="A178" i="6"/>
  <c r="M178" i="6" s="1"/>
  <c r="AK176" i="6"/>
  <c r="AE176" i="6"/>
  <c r="E174" i="6"/>
  <c r="D174" i="12"/>
  <c r="J179" i="12"/>
  <c r="L179" i="12"/>
  <c r="G177" i="12"/>
  <c r="X177" i="5"/>
  <c r="C175" i="6"/>
  <c r="O175" i="5"/>
  <c r="AJ176" i="6"/>
  <c r="AB176" i="6"/>
  <c r="K178" i="12"/>
  <c r="AF181" i="5"/>
  <c r="AE177" i="6" l="1"/>
  <c r="AD177" i="6"/>
  <c r="BA177" i="6"/>
  <c r="BG177" i="6"/>
  <c r="AI177" i="6"/>
  <c r="AU177" i="6"/>
  <c r="AN177" i="6"/>
  <c r="AS177" i="6"/>
  <c r="BF177" i="6"/>
  <c r="AX177" i="6"/>
  <c r="AZ177" i="6"/>
  <c r="BE177" i="6"/>
  <c r="AK177" i="6"/>
  <c r="AR177" i="6"/>
  <c r="AB177" i="6"/>
  <c r="AP177" i="6"/>
  <c r="AY177" i="6"/>
  <c r="AV177" i="6"/>
  <c r="AH177" i="6"/>
  <c r="AC177" i="6"/>
  <c r="BB177" i="6"/>
  <c r="AJ177" i="6"/>
  <c r="BC177" i="6"/>
  <c r="AQ177" i="6"/>
  <c r="AF177" i="6"/>
  <c r="AO177" i="6"/>
  <c r="AG177" i="6"/>
  <c r="AT177" i="6"/>
  <c r="W174" i="12"/>
  <c r="V174" i="12" s="1"/>
  <c r="BD177" i="6"/>
  <c r="U173" i="12"/>
  <c r="V173" i="12"/>
  <c r="AG181" i="5"/>
  <c r="S181" i="5"/>
  <c r="F181" i="12" s="1"/>
  <c r="K179" i="12"/>
  <c r="Y175" i="12"/>
  <c r="X175" i="12" s="1"/>
  <c r="AS178" i="6"/>
  <c r="BC178" i="6"/>
  <c r="BB178" i="6"/>
  <c r="BF178" i="6"/>
  <c r="AQ178" i="6"/>
  <c r="AR178" i="6"/>
  <c r="AY178" i="6"/>
  <c r="AP178" i="6"/>
  <c r="BA178" i="6"/>
  <c r="AZ178" i="6"/>
  <c r="BD178" i="6"/>
  <c r="AU178" i="6"/>
  <c r="AO178" i="6"/>
  <c r="BE178" i="6"/>
  <c r="AT178" i="6"/>
  <c r="AV178" i="6"/>
  <c r="AC178" i="6"/>
  <c r="AG178" i="6"/>
  <c r="AX178" i="6"/>
  <c r="AN178" i="6"/>
  <c r="AM178" i="6"/>
  <c r="AD178" i="6"/>
  <c r="AB178" i="6"/>
  <c r="BG178" i="6"/>
  <c r="AH178" i="6"/>
  <c r="AF178" i="6"/>
  <c r="D175" i="12"/>
  <c r="E175" i="6"/>
  <c r="AB176" i="5"/>
  <c r="AA176" i="5"/>
  <c r="C176" i="6"/>
  <c r="O176" i="5"/>
  <c r="C176" i="12"/>
  <c r="M176" i="12"/>
  <c r="O176" i="12"/>
  <c r="AO176" i="12"/>
  <c r="A179" i="6"/>
  <c r="M179" i="6" s="1"/>
  <c r="BF179" i="6" s="1"/>
  <c r="G179" i="6"/>
  <c r="H179" i="6"/>
  <c r="T179" i="5" s="1"/>
  <c r="G178" i="12"/>
  <c r="X178" i="5"/>
  <c r="AM177" i="5"/>
  <c r="L177" i="5"/>
  <c r="I177" i="12"/>
  <c r="Z177" i="5"/>
  <c r="AC177" i="5"/>
  <c r="N175" i="12"/>
  <c r="B181" i="5"/>
  <c r="G181" i="5"/>
  <c r="N181" i="5"/>
  <c r="D181" i="5"/>
  <c r="B181" i="12" s="1"/>
  <c r="AD181" i="5"/>
  <c r="E181" i="5"/>
  <c r="H181" i="5"/>
  <c r="K181" i="5"/>
  <c r="AE181" i="5"/>
  <c r="J181" i="5"/>
  <c r="A181" i="12"/>
  <c r="C182" i="5"/>
  <c r="B181" i="6"/>
  <c r="R181" i="5"/>
  <c r="W181" i="5"/>
  <c r="H181" i="12" s="1"/>
  <c r="F181" i="5"/>
  <c r="D180" i="6"/>
  <c r="E180" i="12"/>
  <c r="F180" i="6"/>
  <c r="J180" i="12"/>
  <c r="L180" i="12"/>
  <c r="AI178" i="6"/>
  <c r="AJ178" i="6"/>
  <c r="AE178" i="6"/>
  <c r="AK178" i="6"/>
  <c r="AF182" i="5"/>
  <c r="T174" i="12" l="1"/>
  <c r="U174" i="12"/>
  <c r="A180" i="6"/>
  <c r="M180" i="6" s="1"/>
  <c r="W175" i="12"/>
  <c r="V175" i="12" s="1"/>
  <c r="AS179" i="6"/>
  <c r="BG179" i="6"/>
  <c r="AB179" i="6"/>
  <c r="AY179" i="6"/>
  <c r="BB179" i="6"/>
  <c r="S182" i="5"/>
  <c r="F182" i="12" s="1"/>
  <c r="AG182" i="5"/>
  <c r="AJ179" i="6"/>
  <c r="AO179" i="6"/>
  <c r="AX179" i="6"/>
  <c r="AT179" i="6"/>
  <c r="AK179" i="6"/>
  <c r="AP179" i="6"/>
  <c r="AU179" i="6"/>
  <c r="AM179" i="6"/>
  <c r="K180" i="12"/>
  <c r="AG179" i="6"/>
  <c r="AI179" i="6"/>
  <c r="AR179" i="6"/>
  <c r="BC179" i="6"/>
  <c r="AZ179" i="6"/>
  <c r="BD179" i="6"/>
  <c r="BE179" i="6"/>
  <c r="AH179" i="6"/>
  <c r="BA179" i="6"/>
  <c r="AQ179" i="6"/>
  <c r="AN179" i="6"/>
  <c r="AV179" i="6"/>
  <c r="AC179" i="6"/>
  <c r="Y176" i="12"/>
  <c r="X176" i="12" s="1"/>
  <c r="F181" i="6"/>
  <c r="E181" i="12"/>
  <c r="J181" i="12"/>
  <c r="L181" i="12"/>
  <c r="D181" i="6"/>
  <c r="AB177" i="5"/>
  <c r="AA177" i="5"/>
  <c r="C177" i="6"/>
  <c r="O177" i="5"/>
  <c r="E176" i="6"/>
  <c r="D176" i="12"/>
  <c r="G180" i="6"/>
  <c r="H180" i="6"/>
  <c r="T180" i="5" s="1"/>
  <c r="A182" i="12"/>
  <c r="E182" i="5"/>
  <c r="W182" i="5"/>
  <c r="H182" i="12" s="1"/>
  <c r="F182" i="5"/>
  <c r="H182" i="5"/>
  <c r="J182" i="5"/>
  <c r="AD182" i="5"/>
  <c r="N182" i="5"/>
  <c r="AE182" i="5"/>
  <c r="B182" i="6"/>
  <c r="D182" i="5"/>
  <c r="B182" i="12" s="1"/>
  <c r="K182" i="5"/>
  <c r="B182" i="5"/>
  <c r="C183" i="5"/>
  <c r="G182" i="5"/>
  <c r="R182" i="5"/>
  <c r="C177" i="12"/>
  <c r="AO177" i="12"/>
  <c r="M177" i="12"/>
  <c r="O177" i="12"/>
  <c r="L178" i="5"/>
  <c r="AM178" i="5"/>
  <c r="I178" i="12"/>
  <c r="Z178" i="5"/>
  <c r="AC178" i="5"/>
  <c r="G179" i="12"/>
  <c r="X179" i="5"/>
  <c r="AD179" i="6"/>
  <c r="AE179" i="6"/>
  <c r="AF179" i="6"/>
  <c r="N176" i="12"/>
  <c r="AF183" i="5"/>
  <c r="T175" i="12" l="1"/>
  <c r="BB180" i="6"/>
  <c r="AP180" i="6"/>
  <c r="BG180" i="6"/>
  <c r="W176" i="12"/>
  <c r="U176" i="12" s="1"/>
  <c r="U175" i="12"/>
  <c r="AY180" i="6"/>
  <c r="AZ180" i="6"/>
  <c r="AX180" i="6"/>
  <c r="BA180" i="6"/>
  <c r="AR180" i="6"/>
  <c r="AS180" i="6"/>
  <c r="S183" i="5"/>
  <c r="F183" i="12" s="1"/>
  <c r="AG183" i="5"/>
  <c r="AM180" i="6"/>
  <c r="AN180" i="6"/>
  <c r="AC180" i="6"/>
  <c r="AF180" i="6"/>
  <c r="AI180" i="6"/>
  <c r="K181" i="12"/>
  <c r="AA178" i="5"/>
  <c r="AB178" i="5"/>
  <c r="C178" i="12"/>
  <c r="M178" i="12"/>
  <c r="AO178" i="12"/>
  <c r="O178" i="12"/>
  <c r="C178" i="6"/>
  <c r="O178" i="5"/>
  <c r="F182" i="6"/>
  <c r="E182" i="12"/>
  <c r="C184" i="5"/>
  <c r="G183" i="5"/>
  <c r="K183" i="5"/>
  <c r="B183" i="5"/>
  <c r="W183" i="5"/>
  <c r="H183" i="12" s="1"/>
  <c r="E183" i="5"/>
  <c r="R183" i="5"/>
  <c r="N183" i="5"/>
  <c r="H183" i="5"/>
  <c r="AD183" i="5"/>
  <c r="J183" i="5"/>
  <c r="AE183" i="5"/>
  <c r="F183" i="5"/>
  <c r="B183" i="6"/>
  <c r="A183" i="12"/>
  <c r="D183" i="5"/>
  <c r="B183" i="12" s="1"/>
  <c r="J182" i="12"/>
  <c r="L182" i="12"/>
  <c r="G180" i="12"/>
  <c r="X180" i="5"/>
  <c r="AH180" i="6"/>
  <c r="AK180" i="6"/>
  <c r="H181" i="6"/>
  <c r="T181" i="5" s="1"/>
  <c r="G181" i="6"/>
  <c r="I179" i="12"/>
  <c r="L179" i="5"/>
  <c r="AM179" i="5"/>
  <c r="Z179" i="5"/>
  <c r="AC179" i="5"/>
  <c r="N177" i="12"/>
  <c r="Y177" i="12"/>
  <c r="D182" i="6"/>
  <c r="A181" i="6"/>
  <c r="BC180" i="6"/>
  <c r="BF180" i="6"/>
  <c r="AD180" i="6"/>
  <c r="AO180" i="6"/>
  <c r="AU180" i="6"/>
  <c r="AV180" i="6"/>
  <c r="AB180" i="6"/>
  <c r="AE180" i="6"/>
  <c r="AT180" i="6"/>
  <c r="BD180" i="6"/>
  <c r="BE180" i="6"/>
  <c r="AQ180" i="6"/>
  <c r="AJ180" i="6"/>
  <c r="AG180" i="6"/>
  <c r="D177" i="12"/>
  <c r="E177" i="6"/>
  <c r="AF184" i="5"/>
  <c r="T176" i="12" l="1"/>
  <c r="N178" i="12"/>
  <c r="V176" i="12"/>
  <c r="A182" i="6"/>
  <c r="M182" i="6" s="1"/>
  <c r="AP182" i="6" s="1"/>
  <c r="AG184" i="5"/>
  <c r="S184" i="5"/>
  <c r="F184" i="12" s="1"/>
  <c r="K182" i="12"/>
  <c r="X177" i="12"/>
  <c r="W177" i="12"/>
  <c r="AA179" i="5"/>
  <c r="AB179" i="5"/>
  <c r="C179" i="6"/>
  <c r="O179" i="5"/>
  <c r="M181" i="6"/>
  <c r="D183" i="6"/>
  <c r="D178" i="12"/>
  <c r="E178" i="6"/>
  <c r="G182" i="6"/>
  <c r="H182" i="6"/>
  <c r="T182" i="5" s="1"/>
  <c r="C179" i="12"/>
  <c r="AO179" i="12"/>
  <c r="M179" i="12"/>
  <c r="O179" i="12"/>
  <c r="G181" i="12"/>
  <c r="X181" i="5"/>
  <c r="AM180" i="5"/>
  <c r="I180" i="12"/>
  <c r="L180" i="5"/>
  <c r="Z180" i="5"/>
  <c r="AC180" i="5"/>
  <c r="L183" i="12"/>
  <c r="J183" i="12"/>
  <c r="F183" i="6"/>
  <c r="E183" i="12"/>
  <c r="W184" i="5"/>
  <c r="H184" i="12" s="1"/>
  <c r="G184" i="5"/>
  <c r="H184" i="5"/>
  <c r="N184" i="5"/>
  <c r="K184" i="5"/>
  <c r="A184" i="12"/>
  <c r="B184" i="6"/>
  <c r="D184" i="5"/>
  <c r="B184" i="12" s="1"/>
  <c r="AD184" i="5"/>
  <c r="J184" i="5"/>
  <c r="F184" i="5"/>
  <c r="AE184" i="5"/>
  <c r="R184" i="5"/>
  <c r="C185" i="5"/>
  <c r="E184" i="5"/>
  <c r="B184" i="5"/>
  <c r="Y178" i="12"/>
  <c r="AF185" i="5"/>
  <c r="AR182" i="6" l="1"/>
  <c r="AS182" i="6"/>
  <c r="AG185" i="5"/>
  <c r="S185" i="5"/>
  <c r="F185" i="12" s="1"/>
  <c r="AD182" i="6"/>
  <c r="AC182" i="6"/>
  <c r="AQ182" i="6"/>
  <c r="AU182" i="6"/>
  <c r="BC182" i="6"/>
  <c r="BG182" i="6"/>
  <c r="AY182" i="6"/>
  <c r="AE182" i="6"/>
  <c r="AM182" i="6"/>
  <c r="AN182" i="6"/>
  <c r="BA182" i="6"/>
  <c r="AO182" i="6"/>
  <c r="K183" i="12"/>
  <c r="AT182" i="6"/>
  <c r="AZ182" i="6"/>
  <c r="BE182" i="6"/>
  <c r="AK182" i="6"/>
  <c r="AJ182" i="6"/>
  <c r="BF182" i="6"/>
  <c r="AV182" i="6"/>
  <c r="AF182" i="6"/>
  <c r="AX182" i="6"/>
  <c r="BD182" i="6"/>
  <c r="BB182" i="6"/>
  <c r="AI182" i="6"/>
  <c r="AG182" i="6"/>
  <c r="F184" i="6"/>
  <c r="E184" i="12"/>
  <c r="J184" i="12"/>
  <c r="L184" i="12"/>
  <c r="D184" i="6"/>
  <c r="C180" i="6"/>
  <c r="O180" i="5"/>
  <c r="H183" i="6"/>
  <c r="T183" i="5" s="1"/>
  <c r="G183" i="6"/>
  <c r="D179" i="12"/>
  <c r="E179" i="6"/>
  <c r="V177" i="12"/>
  <c r="T177" i="12"/>
  <c r="U177" i="12"/>
  <c r="X178" i="12"/>
  <c r="W178" i="12"/>
  <c r="AE185" i="5"/>
  <c r="B185" i="5"/>
  <c r="H185" i="5"/>
  <c r="F185" i="5"/>
  <c r="A185" i="12"/>
  <c r="J185" i="5"/>
  <c r="R185" i="5"/>
  <c r="AD185" i="5"/>
  <c r="G185" i="5"/>
  <c r="E185" i="5"/>
  <c r="B185" i="6"/>
  <c r="D185" i="5"/>
  <c r="B185" i="12" s="1"/>
  <c r="N185" i="5"/>
  <c r="C186" i="5"/>
  <c r="W185" i="5"/>
  <c r="H185" i="12" s="1"/>
  <c r="K185" i="5"/>
  <c r="AB180" i="5"/>
  <c r="AA180" i="5"/>
  <c r="C180" i="12"/>
  <c r="M180" i="12"/>
  <c r="AO180" i="12"/>
  <c r="O180" i="12"/>
  <c r="L181" i="5"/>
  <c r="I181" i="12"/>
  <c r="AM181" i="5"/>
  <c r="Z181" i="5"/>
  <c r="AC181" i="5"/>
  <c r="N179" i="12"/>
  <c r="Y179" i="12"/>
  <c r="G182" i="12"/>
  <c r="X182" i="5"/>
  <c r="AB182" i="6"/>
  <c r="AH182" i="6"/>
  <c r="A183" i="6"/>
  <c r="M183" i="6" s="1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F186" i="5"/>
  <c r="N180" i="12" l="1"/>
  <c r="AG186" i="5"/>
  <c r="S186" i="5"/>
  <c r="F186" i="12" s="1"/>
  <c r="K184" i="12"/>
  <c r="Y180" i="12"/>
  <c r="W180" i="12" s="1"/>
  <c r="AO183" i="6"/>
  <c r="BE183" i="6"/>
  <c r="AG183" i="6"/>
  <c r="AE183" i="6"/>
  <c r="AP183" i="6"/>
  <c r="AD183" i="6"/>
  <c r="AQ183" i="6"/>
  <c r="AS183" i="6"/>
  <c r="AM183" i="6"/>
  <c r="AB183" i="6"/>
  <c r="AV183" i="6"/>
  <c r="AK183" i="6"/>
  <c r="AU183" i="6"/>
  <c r="AC183" i="6"/>
  <c r="AR183" i="6"/>
  <c r="AX183" i="6"/>
  <c r="AT183" i="6"/>
  <c r="BG183" i="6"/>
  <c r="AZ183" i="6"/>
  <c r="AN183" i="6"/>
  <c r="AH183" i="6"/>
  <c r="AY183" i="6"/>
  <c r="BD183" i="6"/>
  <c r="BF183" i="6"/>
  <c r="AI183" i="6"/>
  <c r="BC183" i="6"/>
  <c r="AF183" i="6"/>
  <c r="BB183" i="6"/>
  <c r="BA183" i="6"/>
  <c r="AJ183" i="6"/>
  <c r="AA181" i="5"/>
  <c r="AB181" i="5"/>
  <c r="C181" i="6"/>
  <c r="O181" i="5"/>
  <c r="C187" i="5"/>
  <c r="J186" i="5"/>
  <c r="G186" i="5"/>
  <c r="AD186" i="5"/>
  <c r="E186" i="5"/>
  <c r="F186" i="5"/>
  <c r="A186" i="12"/>
  <c r="AE186" i="5"/>
  <c r="B186" i="5"/>
  <c r="H186" i="5"/>
  <c r="D186" i="5"/>
  <c r="B186" i="12" s="1"/>
  <c r="R186" i="5"/>
  <c r="N186" i="5"/>
  <c r="W186" i="5"/>
  <c r="H186" i="12" s="1"/>
  <c r="K186" i="5"/>
  <c r="B186" i="6"/>
  <c r="T178" i="12"/>
  <c r="U178" i="12"/>
  <c r="V178" i="12"/>
  <c r="G184" i="6"/>
  <c r="H184" i="6"/>
  <c r="T184" i="5" s="1"/>
  <c r="AM182" i="5"/>
  <c r="L182" i="5"/>
  <c r="I182" i="12"/>
  <c r="Z182" i="5"/>
  <c r="AC182" i="5"/>
  <c r="W179" i="12"/>
  <c r="X179" i="12"/>
  <c r="C181" i="12"/>
  <c r="AO181" i="12"/>
  <c r="M181" i="12"/>
  <c r="O181" i="12"/>
  <c r="A184" i="6"/>
  <c r="D185" i="6"/>
  <c r="F185" i="6"/>
  <c r="E185" i="12"/>
  <c r="L185" i="12"/>
  <c r="J185" i="12"/>
  <c r="G183" i="12"/>
  <c r="X183" i="5"/>
  <c r="D180" i="12"/>
  <c r="E180" i="6"/>
  <c r="AF187" i="5"/>
  <c r="X180" i="12" l="1"/>
  <c r="AG187" i="5"/>
  <c r="S187" i="5"/>
  <c r="F187" i="12" s="1"/>
  <c r="A185" i="6"/>
  <c r="M185" i="6" s="1"/>
  <c r="AX185" i="6" s="1"/>
  <c r="T179" i="12"/>
  <c r="V179" i="12"/>
  <c r="U179" i="12"/>
  <c r="AA182" i="5"/>
  <c r="AB182" i="5"/>
  <c r="C182" i="12"/>
  <c r="AO182" i="12"/>
  <c r="O182" i="12"/>
  <c r="M182" i="12"/>
  <c r="M184" i="6"/>
  <c r="AF184" i="6" s="1"/>
  <c r="D186" i="6"/>
  <c r="D181" i="12"/>
  <c r="E181" i="6"/>
  <c r="AM183" i="5"/>
  <c r="I183" i="12"/>
  <c r="L183" i="5"/>
  <c r="Z183" i="5"/>
  <c r="AC183" i="5"/>
  <c r="K185" i="12"/>
  <c r="H185" i="6"/>
  <c r="T185" i="5" s="1"/>
  <c r="G185" i="6"/>
  <c r="N181" i="12"/>
  <c r="Y181" i="12"/>
  <c r="C182" i="6"/>
  <c r="O182" i="5"/>
  <c r="G184" i="12"/>
  <c r="X184" i="5"/>
  <c r="E186" i="12"/>
  <c r="F186" i="6"/>
  <c r="J186" i="12"/>
  <c r="L186" i="12"/>
  <c r="F187" i="5"/>
  <c r="D187" i="5"/>
  <c r="B187" i="12" s="1"/>
  <c r="B187" i="5"/>
  <c r="B187" i="6"/>
  <c r="W187" i="5"/>
  <c r="H187" i="12" s="1"/>
  <c r="H187" i="5"/>
  <c r="E187" i="5"/>
  <c r="A187" i="12"/>
  <c r="K187" i="5"/>
  <c r="J187" i="5"/>
  <c r="R187" i="5"/>
  <c r="AD187" i="5"/>
  <c r="AE187" i="5"/>
  <c r="G187" i="5"/>
  <c r="N187" i="5"/>
  <c r="C188" i="5"/>
  <c r="T180" i="12"/>
  <c r="U180" i="12"/>
  <c r="V180" i="12"/>
  <c r="AF188" i="5"/>
  <c r="A186" i="6" l="1"/>
  <c r="M186" i="6" s="1"/>
  <c r="AN186" i="6" s="1"/>
  <c r="AK184" i="6"/>
  <c r="N182" i="12"/>
  <c r="S188" i="5"/>
  <c r="F188" i="12" s="1"/>
  <c r="AG188" i="5"/>
  <c r="AF185" i="6"/>
  <c r="AO185" i="6"/>
  <c r="BC185" i="6"/>
  <c r="K186" i="12"/>
  <c r="AD185" i="6"/>
  <c r="AY185" i="6"/>
  <c r="AU185" i="6"/>
  <c r="AQ185" i="6"/>
  <c r="C189" i="5"/>
  <c r="F188" i="5"/>
  <c r="J188" i="5"/>
  <c r="G188" i="5"/>
  <c r="N188" i="5"/>
  <c r="AE188" i="5"/>
  <c r="R188" i="5"/>
  <c r="E188" i="5"/>
  <c r="H188" i="5"/>
  <c r="AD188" i="5"/>
  <c r="B188" i="6"/>
  <c r="A188" i="12"/>
  <c r="D188" i="5"/>
  <c r="B188" i="12" s="1"/>
  <c r="B188" i="5"/>
  <c r="W188" i="5"/>
  <c r="H188" i="12" s="1"/>
  <c r="K188" i="5"/>
  <c r="AJ185" i="6"/>
  <c r="BF185" i="6"/>
  <c r="AV185" i="6"/>
  <c r="BE185" i="6"/>
  <c r="AR185" i="6"/>
  <c r="AN185" i="6"/>
  <c r="AE185" i="6"/>
  <c r="G185" i="12"/>
  <c r="X185" i="5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D187" i="6"/>
  <c r="E187" i="12"/>
  <c r="F187" i="6"/>
  <c r="L187" i="12"/>
  <c r="J187" i="12"/>
  <c r="AG184" i="6"/>
  <c r="L184" i="5"/>
  <c r="I184" i="12"/>
  <c r="AM184" i="5"/>
  <c r="Z184" i="5"/>
  <c r="AC184" i="5"/>
  <c r="E182" i="6"/>
  <c r="D182" i="12"/>
  <c r="X181" i="12"/>
  <c r="W181" i="12"/>
  <c r="AC185" i="6"/>
  <c r="BG185" i="6"/>
  <c r="BD185" i="6"/>
  <c r="AT185" i="6"/>
  <c r="AK185" i="6"/>
  <c r="BA185" i="6"/>
  <c r="AZ185" i="6"/>
  <c r="AG185" i="6"/>
  <c r="AB185" i="6"/>
  <c r="AP185" i="6"/>
  <c r="AM185" i="6"/>
  <c r="BB185" i="6"/>
  <c r="AS185" i="6"/>
  <c r="AH185" i="6"/>
  <c r="AI185" i="6"/>
  <c r="C183" i="6"/>
  <c r="O183" i="5"/>
  <c r="G186" i="6"/>
  <c r="H186" i="6"/>
  <c r="T186" i="5" s="1"/>
  <c r="Y182" i="12"/>
  <c r="AF189" i="5"/>
  <c r="A187" i="6" l="1"/>
  <c r="M187" i="6" s="1"/>
  <c r="AU187" i="6" s="1"/>
  <c r="AG189" i="5"/>
  <c r="S189" i="5"/>
  <c r="F189" i="12" s="1"/>
  <c r="BG186" i="6"/>
  <c r="AE186" i="6"/>
  <c r="AV186" i="6"/>
  <c r="N183" i="12"/>
  <c r="AK186" i="6"/>
  <c r="AU186" i="6"/>
  <c r="AS186" i="6"/>
  <c r="AP186" i="6"/>
  <c r="AJ186" i="6"/>
  <c r="AI186" i="6"/>
  <c r="AZ186" i="6"/>
  <c r="AR186" i="6"/>
  <c r="BC186" i="6"/>
  <c r="AO186" i="6"/>
  <c r="AM186" i="6"/>
  <c r="E183" i="6"/>
  <c r="D183" i="12"/>
  <c r="AA184" i="5"/>
  <c r="AB184" i="5"/>
  <c r="C184" i="6"/>
  <c r="O184" i="5"/>
  <c r="L188" i="12"/>
  <c r="J188" i="12"/>
  <c r="X182" i="12"/>
  <c r="W182" i="12"/>
  <c r="AB186" i="6"/>
  <c r="BE186" i="6"/>
  <c r="AY186" i="6"/>
  <c r="G186" i="12"/>
  <c r="X186" i="5"/>
  <c r="AF186" i="6"/>
  <c r="AH186" i="6"/>
  <c r="AQ186" i="6"/>
  <c r="BF186" i="6"/>
  <c r="AD186" i="6"/>
  <c r="AC186" i="6"/>
  <c r="AG186" i="6"/>
  <c r="BA186" i="6"/>
  <c r="BD186" i="6"/>
  <c r="BB186" i="6"/>
  <c r="AT186" i="6"/>
  <c r="AX186" i="6"/>
  <c r="V181" i="12"/>
  <c r="U181" i="12"/>
  <c r="T181" i="12"/>
  <c r="C184" i="12"/>
  <c r="O184" i="12"/>
  <c r="M184" i="12"/>
  <c r="AO184" i="12"/>
  <c r="K187" i="12"/>
  <c r="H187" i="6"/>
  <c r="T187" i="5" s="1"/>
  <c r="G187" i="6"/>
  <c r="Y183" i="12"/>
  <c r="I185" i="12"/>
  <c r="AM185" i="5"/>
  <c r="L185" i="5"/>
  <c r="Z185" i="5"/>
  <c r="AC185" i="5"/>
  <c r="F188" i="6"/>
  <c r="E188" i="12"/>
  <c r="D188" i="6"/>
  <c r="F189" i="5"/>
  <c r="R189" i="5"/>
  <c r="W189" i="5"/>
  <c r="H189" i="12" s="1"/>
  <c r="K189" i="5"/>
  <c r="AD189" i="5"/>
  <c r="E189" i="5"/>
  <c r="J189" i="5"/>
  <c r="G189" i="5"/>
  <c r="B189" i="6"/>
  <c r="A189" i="12"/>
  <c r="H189" i="5"/>
  <c r="B189" i="5"/>
  <c r="AE189" i="5"/>
  <c r="D189" i="5"/>
  <c r="B189" i="12" s="1"/>
  <c r="N189" i="5"/>
  <c r="C190" i="5"/>
  <c r="AF190" i="5"/>
  <c r="Y184" i="12" l="1"/>
  <c r="W184" i="12" s="1"/>
  <c r="S190" i="5"/>
  <c r="F190" i="12" s="1"/>
  <c r="AG190" i="5"/>
  <c r="BB187" i="6"/>
  <c r="BG187" i="6"/>
  <c r="AY187" i="6"/>
  <c r="AQ187" i="6"/>
  <c r="AR187" i="6"/>
  <c r="AX187" i="6"/>
  <c r="AS187" i="6"/>
  <c r="N184" i="12"/>
  <c r="AB187" i="6"/>
  <c r="AK187" i="6"/>
  <c r="AP187" i="6"/>
  <c r="AI187" i="6"/>
  <c r="AN187" i="6"/>
  <c r="AH187" i="6"/>
  <c r="AZ187" i="6"/>
  <c r="AO187" i="6"/>
  <c r="AT187" i="6"/>
  <c r="D189" i="6"/>
  <c r="L189" i="12"/>
  <c r="J189" i="12"/>
  <c r="G188" i="6"/>
  <c r="H188" i="6"/>
  <c r="T188" i="5" s="1"/>
  <c r="AA185" i="5"/>
  <c r="AB185" i="5"/>
  <c r="X183" i="12"/>
  <c r="W183" i="12"/>
  <c r="G187" i="12"/>
  <c r="X187" i="5"/>
  <c r="T182" i="12"/>
  <c r="V182" i="12"/>
  <c r="U182" i="12"/>
  <c r="K188" i="12"/>
  <c r="D190" i="5"/>
  <c r="B190" i="12" s="1"/>
  <c r="B190" i="5"/>
  <c r="R190" i="5"/>
  <c r="J190" i="5"/>
  <c r="B190" i="6"/>
  <c r="H190" i="5"/>
  <c r="K190" i="5"/>
  <c r="N190" i="5"/>
  <c r="F190" i="5"/>
  <c r="A190" i="12"/>
  <c r="G190" i="5"/>
  <c r="C191" i="5"/>
  <c r="E190" i="5"/>
  <c r="W190" i="5"/>
  <c r="H190" i="12" s="1"/>
  <c r="AE190" i="5"/>
  <c r="AD190" i="5"/>
  <c r="E189" i="12"/>
  <c r="F189" i="6"/>
  <c r="A188" i="6"/>
  <c r="C185" i="6"/>
  <c r="O185" i="5"/>
  <c r="C185" i="12"/>
  <c r="AO185" i="12"/>
  <c r="O185" i="12"/>
  <c r="M185" i="12"/>
  <c r="AJ187" i="6"/>
  <c r="AD187" i="6"/>
  <c r="AC187" i="6"/>
  <c r="AV187" i="6"/>
  <c r="AG187" i="6"/>
  <c r="BE187" i="6"/>
  <c r="AE187" i="6"/>
  <c r="AF187" i="6"/>
  <c r="BC187" i="6"/>
  <c r="BD187" i="6"/>
  <c r="AM187" i="6"/>
  <c r="BF187" i="6"/>
  <c r="BA187" i="6"/>
  <c r="I186" i="12"/>
  <c r="AM186" i="5"/>
  <c r="L186" i="5"/>
  <c r="Z186" i="5"/>
  <c r="AC186" i="5"/>
  <c r="E184" i="6"/>
  <c r="D184" i="12"/>
  <c r="AF191" i="5"/>
  <c r="X184" i="12" l="1"/>
  <c r="S191" i="5"/>
  <c r="F191" i="12" s="1"/>
  <c r="AG191" i="5"/>
  <c r="N185" i="12"/>
  <c r="A189" i="6"/>
  <c r="M189" i="6" s="1"/>
  <c r="AY189" i="6" s="1"/>
  <c r="E190" i="12"/>
  <c r="F190" i="6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J191" i="5"/>
  <c r="A191" i="12"/>
  <c r="H191" i="5"/>
  <c r="G191" i="5"/>
  <c r="AD191" i="5"/>
  <c r="N191" i="5"/>
  <c r="C192" i="5"/>
  <c r="AE191" i="5"/>
  <c r="W191" i="5"/>
  <c r="H191" i="12" s="1"/>
  <c r="F191" i="5"/>
  <c r="B191" i="5"/>
  <c r="B191" i="6"/>
  <c r="D191" i="5"/>
  <c r="B191" i="12" s="1"/>
  <c r="E191" i="5"/>
  <c r="R191" i="5"/>
  <c r="K191" i="5"/>
  <c r="L190" i="12"/>
  <c r="J190" i="12"/>
  <c r="D190" i="6"/>
  <c r="L187" i="5"/>
  <c r="AM187" i="5"/>
  <c r="I187" i="12"/>
  <c r="Z187" i="5"/>
  <c r="AC187" i="5"/>
  <c r="V183" i="12"/>
  <c r="U183" i="12"/>
  <c r="T183" i="12"/>
  <c r="M188" i="6"/>
  <c r="AG188" i="6" s="1"/>
  <c r="K189" i="12"/>
  <c r="H189" i="6"/>
  <c r="T189" i="5" s="1"/>
  <c r="G189" i="6"/>
  <c r="AF192" i="5"/>
  <c r="N186" i="12" l="1"/>
  <c r="S192" i="5"/>
  <c r="F192" i="12" s="1"/>
  <c r="AG192" i="5"/>
  <c r="BE189" i="6"/>
  <c r="AM189" i="6"/>
  <c r="AU189" i="6"/>
  <c r="BA189" i="6"/>
  <c r="AN189" i="6"/>
  <c r="AI188" i="6"/>
  <c r="BG189" i="6"/>
  <c r="AP189" i="6"/>
  <c r="BF189" i="6"/>
  <c r="AR189" i="6"/>
  <c r="AT189" i="6"/>
  <c r="AF189" i="6"/>
  <c r="AJ189" i="6"/>
  <c r="AD189" i="6"/>
  <c r="AZ189" i="6"/>
  <c r="BC189" i="6"/>
  <c r="AO189" i="6"/>
  <c r="AQ189" i="6"/>
  <c r="AV189" i="6"/>
  <c r="AC189" i="6"/>
  <c r="AI189" i="6"/>
  <c r="AS189" i="6"/>
  <c r="AX189" i="6"/>
  <c r="BB189" i="6"/>
  <c r="BD189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H190" i="6"/>
  <c r="T190" i="5" s="1"/>
  <c r="G190" i="6"/>
  <c r="E191" i="12"/>
  <c r="F191" i="6"/>
  <c r="D191" i="6"/>
  <c r="L191" i="12"/>
  <c r="J191" i="12"/>
  <c r="X185" i="12"/>
  <c r="W185" i="12"/>
  <c r="AF188" i="6"/>
  <c r="AM188" i="5"/>
  <c r="L188" i="5"/>
  <c r="I188" i="12"/>
  <c r="Z188" i="5"/>
  <c r="AC188" i="5"/>
  <c r="AG189" i="6"/>
  <c r="AK189" i="6"/>
  <c r="AH189" i="6"/>
  <c r="AE189" i="6"/>
  <c r="AB189" i="6"/>
  <c r="AC188" i="6"/>
  <c r="AD188" i="6"/>
  <c r="AJ188" i="6"/>
  <c r="K190" i="12"/>
  <c r="B192" i="5"/>
  <c r="N192" i="5"/>
  <c r="D192" i="5"/>
  <c r="B192" i="12" s="1"/>
  <c r="H192" i="5"/>
  <c r="AD192" i="5"/>
  <c r="W192" i="5"/>
  <c r="H192" i="12" s="1"/>
  <c r="AE192" i="5"/>
  <c r="E192" i="5"/>
  <c r="A192" i="12"/>
  <c r="R192" i="5"/>
  <c r="K192" i="5"/>
  <c r="G192" i="5"/>
  <c r="B192" i="6"/>
  <c r="F192" i="5"/>
  <c r="J192" i="5"/>
  <c r="C193" i="5"/>
  <c r="Y186" i="12"/>
  <c r="D186" i="12"/>
  <c r="E186" i="6"/>
  <c r="AE188" i="6"/>
  <c r="AH188" i="6"/>
  <c r="A190" i="6"/>
  <c r="AF193" i="5"/>
  <c r="AG193" i="5" l="1"/>
  <c r="S193" i="5"/>
  <c r="F193" i="12" s="1"/>
  <c r="Y187" i="12"/>
  <c r="X187" i="12" s="1"/>
  <c r="E192" i="12"/>
  <c r="F192" i="6"/>
  <c r="D192" i="6"/>
  <c r="A191" i="6"/>
  <c r="C188" i="6"/>
  <c r="O188" i="5"/>
  <c r="M190" i="6"/>
  <c r="D187" i="12"/>
  <c r="E187" i="6"/>
  <c r="AM189" i="5"/>
  <c r="L189" i="5"/>
  <c r="I189" i="12"/>
  <c r="Z189" i="5"/>
  <c r="AC189" i="5"/>
  <c r="W186" i="12"/>
  <c r="X186" i="12"/>
  <c r="H193" i="5"/>
  <c r="D193" i="5"/>
  <c r="B193" i="12" s="1"/>
  <c r="AD193" i="5"/>
  <c r="K193" i="5"/>
  <c r="N193" i="5"/>
  <c r="W193" i="5"/>
  <c r="H193" i="12" s="1"/>
  <c r="E193" i="5"/>
  <c r="B193" i="5"/>
  <c r="A193" i="12"/>
  <c r="C194" i="5"/>
  <c r="AE193" i="5"/>
  <c r="J193" i="5"/>
  <c r="G193" i="5"/>
  <c r="B193" i="6"/>
  <c r="F193" i="5"/>
  <c r="R193" i="5"/>
  <c r="L192" i="12"/>
  <c r="J192" i="12"/>
  <c r="AB188" i="5"/>
  <c r="AA188" i="5"/>
  <c r="C188" i="12"/>
  <c r="M188" i="12"/>
  <c r="O188" i="12"/>
  <c r="AO188" i="12"/>
  <c r="T185" i="12"/>
  <c r="V185" i="12"/>
  <c r="U185" i="12"/>
  <c r="K191" i="12"/>
  <c r="G191" i="6"/>
  <c r="H191" i="6"/>
  <c r="T191" i="5" s="1"/>
  <c r="G190" i="12"/>
  <c r="X190" i="5"/>
  <c r="N187" i="12"/>
  <c r="AF194" i="5"/>
  <c r="W187" i="12" l="1"/>
  <c r="U187" i="12" s="1"/>
  <c r="A192" i="6"/>
  <c r="AG194" i="5"/>
  <c r="S194" i="5"/>
  <c r="F194" i="12" s="1"/>
  <c r="K192" i="12"/>
  <c r="Y188" i="12"/>
  <c r="W188" i="12" s="1"/>
  <c r="L190" i="5"/>
  <c r="AM190" i="5"/>
  <c r="I190" i="12"/>
  <c r="Z190" i="5"/>
  <c r="AC190" i="5"/>
  <c r="G191" i="12"/>
  <c r="X191" i="5"/>
  <c r="E193" i="12"/>
  <c r="F193" i="6"/>
  <c r="L193" i="12"/>
  <c r="J193" i="12"/>
  <c r="D193" i="6"/>
  <c r="U186" i="12"/>
  <c r="V186" i="12"/>
  <c r="T186" i="12"/>
  <c r="AB189" i="5"/>
  <c r="AA189" i="5"/>
  <c r="C189" i="12"/>
  <c r="O189" i="12"/>
  <c r="AO189" i="12"/>
  <c r="M189" i="12"/>
  <c r="D188" i="12"/>
  <c r="E188" i="6"/>
  <c r="H192" i="6"/>
  <c r="T192" i="5" s="1"/>
  <c r="G192" i="6"/>
  <c r="M191" i="6"/>
  <c r="AF191" i="6" s="1"/>
  <c r="N188" i="12"/>
  <c r="AE194" i="5"/>
  <c r="AD194" i="5"/>
  <c r="R194" i="5"/>
  <c r="E194" i="5"/>
  <c r="F194" i="5"/>
  <c r="D194" i="5"/>
  <c r="B194" i="12" s="1"/>
  <c r="N194" i="5"/>
  <c r="B194" i="5"/>
  <c r="A194" i="12"/>
  <c r="H194" i="5"/>
  <c r="J194" i="5"/>
  <c r="W194" i="5"/>
  <c r="H194" i="12" s="1"/>
  <c r="C195" i="5"/>
  <c r="B194" i="6"/>
  <c r="G194" i="5"/>
  <c r="K194" i="5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F195" i="5"/>
  <c r="V187" i="12" l="1"/>
  <c r="T187" i="12"/>
  <c r="M192" i="6"/>
  <c r="BC192" i="6" s="1"/>
  <c r="X188" i="12"/>
  <c r="Y189" i="12"/>
  <c r="W189" i="12" s="1"/>
  <c r="K193" i="12"/>
  <c r="AD191" i="6"/>
  <c r="AG195" i="5"/>
  <c r="S195" i="5"/>
  <c r="F195" i="12" s="1"/>
  <c r="AC191" i="6"/>
  <c r="AE191" i="6"/>
  <c r="AI191" i="6"/>
  <c r="AG191" i="6"/>
  <c r="E189" i="6"/>
  <c r="D189" i="12"/>
  <c r="E195" i="5"/>
  <c r="B195" i="5"/>
  <c r="F195" i="5"/>
  <c r="K195" i="5"/>
  <c r="B195" i="6"/>
  <c r="C196" i="5"/>
  <c r="N195" i="5"/>
  <c r="AE195" i="5"/>
  <c r="W195" i="5"/>
  <c r="H195" i="12" s="1"/>
  <c r="AD195" i="5"/>
  <c r="G195" i="5"/>
  <c r="R195" i="5"/>
  <c r="H195" i="5"/>
  <c r="D195" i="5"/>
  <c r="B195" i="12" s="1"/>
  <c r="A195" i="12"/>
  <c r="J195" i="5"/>
  <c r="I191" i="12"/>
  <c r="AM191" i="5"/>
  <c r="L191" i="5"/>
  <c r="Z191" i="5"/>
  <c r="AC191" i="5"/>
  <c r="AA190" i="5"/>
  <c r="AB190" i="5"/>
  <c r="L194" i="12"/>
  <c r="J194" i="12"/>
  <c r="D194" i="6"/>
  <c r="F194" i="6"/>
  <c r="E194" i="12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G193" i="6"/>
  <c r="H193" i="6"/>
  <c r="T193" i="5" s="1"/>
  <c r="A193" i="6"/>
  <c r="A194" i="6" s="1"/>
  <c r="T188" i="12"/>
  <c r="V188" i="12"/>
  <c r="U188" i="12"/>
  <c r="C190" i="12"/>
  <c r="M190" i="12"/>
  <c r="AO190" i="12"/>
  <c r="O190" i="12"/>
  <c r="C190" i="6"/>
  <c r="O190" i="5"/>
  <c r="AF196" i="5"/>
  <c r="BD192" i="6" l="1"/>
  <c r="BA192" i="6"/>
  <c r="AM192" i="6"/>
  <c r="AZ192" i="6"/>
  <c r="AF192" i="6"/>
  <c r="AS192" i="6"/>
  <c r="AU192" i="6"/>
  <c r="AE192" i="6"/>
  <c r="AO192" i="6"/>
  <c r="BF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AG196" i="5"/>
  <c r="S196" i="5"/>
  <c r="F196" i="12" s="1"/>
  <c r="Y190" i="12"/>
  <c r="X190" i="12" s="1"/>
  <c r="K194" i="12"/>
  <c r="M193" i="6"/>
  <c r="AE193" i="6" s="1"/>
  <c r="L192" i="5"/>
  <c r="AM192" i="5"/>
  <c r="I192" i="12"/>
  <c r="Z192" i="5"/>
  <c r="AC192" i="5"/>
  <c r="AA191" i="5"/>
  <c r="AB191" i="5"/>
  <c r="L195" i="12"/>
  <c r="J195" i="12"/>
  <c r="G196" i="5"/>
  <c r="K196" i="5"/>
  <c r="B196" i="5"/>
  <c r="N196" i="5"/>
  <c r="B196" i="6"/>
  <c r="J196" i="5"/>
  <c r="A196" i="12"/>
  <c r="R196" i="5"/>
  <c r="E196" i="5"/>
  <c r="F196" i="5"/>
  <c r="H196" i="5"/>
  <c r="AD196" i="5"/>
  <c r="C197" i="5"/>
  <c r="D196" i="5"/>
  <c r="B196" i="12" s="1"/>
  <c r="AE196" i="5"/>
  <c r="W196" i="5"/>
  <c r="H196" i="12" s="1"/>
  <c r="E190" i="6"/>
  <c r="D190" i="12"/>
  <c r="G193" i="12"/>
  <c r="X193" i="5"/>
  <c r="H194" i="6"/>
  <c r="T194" i="5" s="1"/>
  <c r="M194" i="6"/>
  <c r="G194" i="6"/>
  <c r="C191" i="6"/>
  <c r="O191" i="5"/>
  <c r="C191" i="12"/>
  <c r="M191" i="12"/>
  <c r="O191" i="12"/>
  <c r="AO191" i="12"/>
  <c r="T189" i="12"/>
  <c r="U189" i="12"/>
  <c r="V189" i="12"/>
  <c r="F195" i="6"/>
  <c r="E195" i="12"/>
  <c r="D195" i="6"/>
  <c r="AF197" i="5"/>
  <c r="W190" i="12" l="1"/>
  <c r="T190" i="12" s="1"/>
  <c r="AG194" i="6"/>
  <c r="AP194" i="6"/>
  <c r="AS194" i="6"/>
  <c r="AR194" i="6"/>
  <c r="AH194" i="6"/>
  <c r="AT194" i="6"/>
  <c r="S197" i="5"/>
  <c r="F197" i="12" s="1"/>
  <c r="AG197" i="5"/>
  <c r="AN194" i="6"/>
  <c r="BD194" i="6"/>
  <c r="AM194" i="6"/>
  <c r="AX194" i="6"/>
  <c r="AO194" i="6"/>
  <c r="BB194" i="6"/>
  <c r="N191" i="12"/>
  <c r="AQ194" i="6"/>
  <c r="AY194" i="6"/>
  <c r="BG194" i="6"/>
  <c r="AV194" i="6"/>
  <c r="AZ194" i="6"/>
  <c r="AU194" i="6"/>
  <c r="BA194" i="6"/>
  <c r="BC194" i="6"/>
  <c r="BE194" i="6"/>
  <c r="BF194" i="6"/>
  <c r="AE194" i="6"/>
  <c r="AK194" i="6"/>
  <c r="AJ194" i="6"/>
  <c r="AB194" i="6"/>
  <c r="H195" i="6"/>
  <c r="T195" i="5" s="1"/>
  <c r="G195" i="6"/>
  <c r="G194" i="12"/>
  <c r="X194" i="5"/>
  <c r="J196" i="12"/>
  <c r="L196" i="12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A195" i="6"/>
  <c r="Y191" i="12"/>
  <c r="D191" i="12"/>
  <c r="E191" i="6"/>
  <c r="AF194" i="6"/>
  <c r="AC194" i="6"/>
  <c r="AD194" i="6"/>
  <c r="AI194" i="6"/>
  <c r="AC193" i="6"/>
  <c r="I193" i="12"/>
  <c r="L193" i="5"/>
  <c r="AM193" i="5"/>
  <c r="Z193" i="5"/>
  <c r="AC193" i="5"/>
  <c r="K197" i="5"/>
  <c r="R197" i="5"/>
  <c r="G197" i="5"/>
  <c r="AE197" i="5"/>
  <c r="C198" i="5"/>
  <c r="J197" i="5"/>
  <c r="D197" i="5"/>
  <c r="B197" i="12" s="1"/>
  <c r="H197" i="5"/>
  <c r="AD197" i="5"/>
  <c r="E197" i="5"/>
  <c r="B197" i="6"/>
  <c r="F197" i="5"/>
  <c r="W197" i="5"/>
  <c r="H197" i="12" s="1"/>
  <c r="N197" i="5"/>
  <c r="A197" i="12"/>
  <c r="B197" i="5"/>
  <c r="F196" i="6"/>
  <c r="E196" i="12"/>
  <c r="D196" i="6"/>
  <c r="K195" i="12"/>
  <c r="C192" i="12"/>
  <c r="M192" i="12"/>
  <c r="AO192" i="12"/>
  <c r="O192" i="12"/>
  <c r="C192" i="6"/>
  <c r="O192" i="5"/>
  <c r="V190" i="12"/>
  <c r="AF198" i="5"/>
  <c r="U190" i="12" l="1"/>
  <c r="N192" i="12"/>
  <c r="AG198" i="5"/>
  <c r="S198" i="5"/>
  <c r="F198" i="12" s="1"/>
  <c r="K196" i="12"/>
  <c r="A196" i="6"/>
  <c r="M195" i="6"/>
  <c r="AF195" i="6" s="1"/>
  <c r="E192" i="6"/>
  <c r="D192" i="12"/>
  <c r="L197" i="12"/>
  <c r="J197" i="12"/>
  <c r="B198" i="6"/>
  <c r="G198" i="5"/>
  <c r="AE198" i="5"/>
  <c r="E198" i="5"/>
  <c r="AD198" i="5"/>
  <c r="F198" i="5"/>
  <c r="D198" i="5"/>
  <c r="B198" i="12" s="1"/>
  <c r="H198" i="5"/>
  <c r="W198" i="5"/>
  <c r="H198" i="12" s="1"/>
  <c r="N198" i="5"/>
  <c r="B198" i="5"/>
  <c r="K198" i="5"/>
  <c r="C199" i="5"/>
  <c r="J198" i="5"/>
  <c r="A198" i="12"/>
  <c r="R198" i="5"/>
  <c r="C193" i="12"/>
  <c r="AO193" i="12"/>
  <c r="M193" i="12"/>
  <c r="O193" i="12"/>
  <c r="X191" i="12"/>
  <c r="W191" i="12"/>
  <c r="I194" i="12"/>
  <c r="L194" i="5"/>
  <c r="AM194" i="5"/>
  <c r="Z194" i="5"/>
  <c r="AC194" i="5"/>
  <c r="Y192" i="12"/>
  <c r="G196" i="6"/>
  <c r="H196" i="6"/>
  <c r="T196" i="5" s="1"/>
  <c r="D197" i="6"/>
  <c r="E197" i="12"/>
  <c r="F197" i="6"/>
  <c r="AA193" i="5"/>
  <c r="AB193" i="5"/>
  <c r="C193" i="6"/>
  <c r="O193" i="5"/>
  <c r="G195" i="12"/>
  <c r="X195" i="5"/>
  <c r="AF199" i="5"/>
  <c r="AB195" i="6" l="1"/>
  <c r="BF195" i="6"/>
  <c r="M196" i="6"/>
  <c r="AQ196" i="6" s="1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G199" i="5"/>
  <c r="S199" i="5"/>
  <c r="F199" i="12" s="1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G197" i="6"/>
  <c r="H197" i="6"/>
  <c r="T197" i="5" s="1"/>
  <c r="AB194" i="5"/>
  <c r="AA194" i="5"/>
  <c r="C194" i="6"/>
  <c r="O194" i="5"/>
  <c r="U191" i="12"/>
  <c r="T191" i="12"/>
  <c r="V191" i="12"/>
  <c r="Y193" i="12"/>
  <c r="J198" i="12"/>
  <c r="L198" i="12"/>
  <c r="D199" i="5"/>
  <c r="B199" i="12" s="1"/>
  <c r="H199" i="5"/>
  <c r="C200" i="5"/>
  <c r="B199" i="6"/>
  <c r="K199" i="5"/>
  <c r="G199" i="5"/>
  <c r="J199" i="5"/>
  <c r="AE199" i="5"/>
  <c r="W199" i="5"/>
  <c r="H199" i="12" s="1"/>
  <c r="F199" i="5"/>
  <c r="E199" i="5"/>
  <c r="A199" i="12"/>
  <c r="AD199" i="5"/>
  <c r="B199" i="5"/>
  <c r="N199" i="5"/>
  <c r="R199" i="5"/>
  <c r="A197" i="6"/>
  <c r="L195" i="5"/>
  <c r="AM195" i="5"/>
  <c r="I195" i="12"/>
  <c r="Z195" i="5"/>
  <c r="AC195" i="5"/>
  <c r="E193" i="6"/>
  <c r="D193" i="12"/>
  <c r="G196" i="12"/>
  <c r="X196" i="5"/>
  <c r="X192" i="12"/>
  <c r="W192" i="12"/>
  <c r="C194" i="12"/>
  <c r="O194" i="12"/>
  <c r="M194" i="12"/>
  <c r="AO194" i="12"/>
  <c r="E198" i="12"/>
  <c r="F198" i="6"/>
  <c r="D198" i="6"/>
  <c r="K197" i="12"/>
  <c r="AF200" i="5"/>
  <c r="AP196" i="6" l="1"/>
  <c r="AF196" i="6"/>
  <c r="AI196" i="6"/>
  <c r="AH196" i="6"/>
  <c r="AT196" i="6"/>
  <c r="BD196" i="6"/>
  <c r="AG196" i="6"/>
  <c r="AN196" i="6"/>
  <c r="AD196" i="6"/>
  <c r="AU196" i="6"/>
  <c r="AV196" i="6"/>
  <c r="BC196" i="6"/>
  <c r="BA196" i="6"/>
  <c r="AY196" i="6"/>
  <c r="AZ196" i="6"/>
  <c r="BF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S200" i="5"/>
  <c r="F200" i="12" s="1"/>
  <c r="AG200" i="5"/>
  <c r="A198" i="6"/>
  <c r="M198" i="6" s="1"/>
  <c r="K198" i="12"/>
  <c r="T192" i="12"/>
  <c r="V192" i="12"/>
  <c r="U192" i="12"/>
  <c r="AM196" i="5"/>
  <c r="I196" i="12"/>
  <c r="L196" i="5"/>
  <c r="Z196" i="5"/>
  <c r="AC196" i="5"/>
  <c r="D199" i="6"/>
  <c r="AE200" i="5"/>
  <c r="A200" i="12"/>
  <c r="B200" i="5"/>
  <c r="D200" i="5"/>
  <c r="B200" i="12" s="1"/>
  <c r="N200" i="5"/>
  <c r="R200" i="5"/>
  <c r="H200" i="5"/>
  <c r="AD200" i="5"/>
  <c r="J200" i="5"/>
  <c r="C201" i="5"/>
  <c r="W200" i="5"/>
  <c r="H200" i="12" s="1"/>
  <c r="K200" i="5"/>
  <c r="B200" i="6"/>
  <c r="G200" i="5"/>
  <c r="F200" i="5"/>
  <c r="E200" i="5"/>
  <c r="W193" i="12"/>
  <c r="X193" i="12"/>
  <c r="D194" i="12"/>
  <c r="E194" i="6"/>
  <c r="M197" i="6"/>
  <c r="AF197" i="6" s="1"/>
  <c r="H198" i="6"/>
  <c r="T198" i="5" s="1"/>
  <c r="G198" i="6"/>
  <c r="AB195" i="5"/>
  <c r="AA195" i="5"/>
  <c r="C195" i="12"/>
  <c r="AO195" i="12"/>
  <c r="M195" i="12"/>
  <c r="O195" i="12"/>
  <c r="C195" i="6"/>
  <c r="O195" i="5"/>
  <c r="E199" i="12"/>
  <c r="F199" i="6"/>
  <c r="L199" i="12"/>
  <c r="J199" i="12"/>
  <c r="G197" i="12"/>
  <c r="X197" i="5"/>
  <c r="AF201" i="5"/>
  <c r="X194" i="12" l="1"/>
  <c r="AJ198" i="6"/>
  <c r="AG201" i="5"/>
  <c r="S201" i="5"/>
  <c r="F201" i="12" s="1"/>
  <c r="BG198" i="6"/>
  <c r="AH198" i="6"/>
  <c r="BC198" i="6"/>
  <c r="BF198" i="6"/>
  <c r="AP198" i="6"/>
  <c r="AO198" i="6"/>
  <c r="AY198" i="6"/>
  <c r="AC198" i="6"/>
  <c r="AM198" i="6"/>
  <c r="AX198" i="6"/>
  <c r="AK198" i="6"/>
  <c r="AU198" i="6"/>
  <c r="AZ198" i="6"/>
  <c r="BE198" i="6"/>
  <c r="AB198" i="6"/>
  <c r="K199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D200" i="6"/>
  <c r="G199" i="6"/>
  <c r="H199" i="6"/>
  <c r="T199" i="5" s="1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AC197" i="5"/>
  <c r="A199" i="6"/>
  <c r="E195" i="6"/>
  <c r="D195" i="12"/>
  <c r="N195" i="12"/>
  <c r="Y195" i="12"/>
  <c r="AV198" i="6"/>
  <c r="BA198" i="6"/>
  <c r="AT198" i="6"/>
  <c r="BD198" i="6"/>
  <c r="AQ198" i="6"/>
  <c r="AE198" i="6"/>
  <c r="AD198" i="6"/>
  <c r="AG198" i="6"/>
  <c r="AI198" i="6"/>
  <c r="AS198" i="6"/>
  <c r="AR198" i="6"/>
  <c r="AN198" i="6"/>
  <c r="BB198" i="6"/>
  <c r="AF198" i="6"/>
  <c r="G198" i="12"/>
  <c r="X198" i="5"/>
  <c r="H201" i="5"/>
  <c r="R201" i="5"/>
  <c r="F201" i="5"/>
  <c r="J201" i="5"/>
  <c r="AE201" i="5"/>
  <c r="A201" i="12"/>
  <c r="B201" i="6"/>
  <c r="K201" i="5"/>
  <c r="AD201" i="5"/>
  <c r="C202" i="5"/>
  <c r="B201" i="5"/>
  <c r="E201" i="5"/>
  <c r="W201" i="5"/>
  <c r="H201" i="12" s="1"/>
  <c r="G201" i="5"/>
  <c r="D201" i="5"/>
  <c r="B201" i="12" s="1"/>
  <c r="N201" i="5"/>
  <c r="F200" i="6"/>
  <c r="E200" i="12"/>
  <c r="J200" i="12"/>
  <c r="L200" i="12"/>
  <c r="C196" i="12"/>
  <c r="AO196" i="12"/>
  <c r="M196" i="12"/>
  <c r="O196" i="12"/>
  <c r="AF202" i="5"/>
  <c r="S202" i="5" l="1"/>
  <c r="F202" i="12" s="1"/>
  <c r="AG202" i="5"/>
  <c r="K200" i="12"/>
  <c r="A200" i="6"/>
  <c r="D201" i="6"/>
  <c r="N202" i="5"/>
  <c r="G202" i="5"/>
  <c r="A202" i="12"/>
  <c r="AE202" i="5"/>
  <c r="AD202" i="5"/>
  <c r="F202" i="5"/>
  <c r="H202" i="5"/>
  <c r="W202" i="5"/>
  <c r="H202" i="12" s="1"/>
  <c r="C203" i="5"/>
  <c r="R202" i="5"/>
  <c r="K202" i="5"/>
  <c r="D202" i="5"/>
  <c r="B202" i="12" s="1"/>
  <c r="E202" i="5"/>
  <c r="J202" i="5"/>
  <c r="B202" i="5"/>
  <c r="B202" i="6"/>
  <c r="J201" i="12"/>
  <c r="L201" i="12"/>
  <c r="E201" i="12"/>
  <c r="F201" i="6"/>
  <c r="L198" i="5"/>
  <c r="I198" i="12"/>
  <c r="AM198" i="5"/>
  <c r="Z198" i="5"/>
  <c r="AC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M199" i="6"/>
  <c r="H200" i="6"/>
  <c r="T200" i="5" s="1"/>
  <c r="G200" i="6"/>
  <c r="AF203" i="5"/>
  <c r="A201" i="6" l="1"/>
  <c r="M201" i="6" s="1"/>
  <c r="AN201" i="6" s="1"/>
  <c r="AG203" i="5"/>
  <c r="S203" i="5"/>
  <c r="F203" i="12" s="1"/>
  <c r="Y197" i="12"/>
  <c r="W197" i="12" s="1"/>
  <c r="M200" i="6"/>
  <c r="AP200" i="6" s="1"/>
  <c r="K201" i="12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F202" i="6"/>
  <c r="E202" i="12"/>
  <c r="G200" i="12"/>
  <c r="X200" i="5"/>
  <c r="AE199" i="6"/>
  <c r="L199" i="5"/>
  <c r="AM199" i="5"/>
  <c r="I199" i="12"/>
  <c r="Z199" i="5"/>
  <c r="AC199" i="5"/>
  <c r="D197" i="12"/>
  <c r="E197" i="6"/>
  <c r="N197" i="12"/>
  <c r="T195" i="12"/>
  <c r="V195" i="12"/>
  <c r="U195" i="12"/>
  <c r="C198" i="12"/>
  <c r="O198" i="12"/>
  <c r="AO198" i="12"/>
  <c r="M198" i="12"/>
  <c r="C204" i="5"/>
  <c r="F203" i="5"/>
  <c r="G203" i="5"/>
  <c r="R203" i="5"/>
  <c r="A203" i="12"/>
  <c r="B203" i="6"/>
  <c r="K203" i="5"/>
  <c r="E203" i="5"/>
  <c r="AE203" i="5"/>
  <c r="B203" i="5"/>
  <c r="W203" i="5"/>
  <c r="H203" i="12" s="1"/>
  <c r="D203" i="5"/>
  <c r="B203" i="12" s="1"/>
  <c r="N203" i="5"/>
  <c r="H203" i="5"/>
  <c r="AD203" i="5"/>
  <c r="J203" i="5"/>
  <c r="L202" i="12"/>
  <c r="J202" i="12"/>
  <c r="D202" i="6"/>
  <c r="H201" i="6"/>
  <c r="T201" i="5" s="1"/>
  <c r="G201" i="6"/>
  <c r="AF204" i="5"/>
  <c r="AC200" i="6" l="1"/>
  <c r="X197" i="12"/>
  <c r="BG200" i="6"/>
  <c r="AK200" i="6"/>
  <c r="A202" i="6"/>
  <c r="M202" i="6" s="1"/>
  <c r="BB200" i="6"/>
  <c r="AF200" i="6"/>
  <c r="AT200" i="6"/>
  <c r="AJ200" i="6"/>
  <c r="AO200" i="6"/>
  <c r="AZ200" i="6"/>
  <c r="BC200" i="6"/>
  <c r="AU201" i="6"/>
  <c r="AG204" i="5"/>
  <c r="S204" i="5"/>
  <c r="F204" i="12" s="1"/>
  <c r="BF201" i="6"/>
  <c r="AR201" i="6"/>
  <c r="AM201" i="6"/>
  <c r="AO201" i="6"/>
  <c r="BC201" i="6"/>
  <c r="AX201" i="6"/>
  <c r="AP201" i="6"/>
  <c r="BE201" i="6"/>
  <c r="BA201" i="6"/>
  <c r="BG201" i="6"/>
  <c r="AQ201" i="6"/>
  <c r="BB201" i="6"/>
  <c r="AE201" i="6"/>
  <c r="AT201" i="6"/>
  <c r="AS201" i="6"/>
  <c r="AH201" i="6"/>
  <c r="AY201" i="6"/>
  <c r="AV201" i="6"/>
  <c r="AZ201" i="6"/>
  <c r="BD201" i="6"/>
  <c r="Y198" i="12"/>
  <c r="X198" i="12" s="1"/>
  <c r="AB201" i="6"/>
  <c r="AG201" i="6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E203" i="12"/>
  <c r="F203" i="6"/>
  <c r="C199" i="12"/>
  <c r="O199" i="12"/>
  <c r="AO199" i="12"/>
  <c r="M199" i="12"/>
  <c r="C199" i="6"/>
  <c r="O199" i="5"/>
  <c r="AM200" i="5"/>
  <c r="I200" i="12"/>
  <c r="L200" i="5"/>
  <c r="Z200" i="5"/>
  <c r="AC200" i="5"/>
  <c r="U196" i="12"/>
  <c r="T196" i="12"/>
  <c r="V196" i="12"/>
  <c r="AI201" i="6"/>
  <c r="AC201" i="6"/>
  <c r="AJ201" i="6"/>
  <c r="AD201" i="6"/>
  <c r="AK201" i="6"/>
  <c r="AF201" i="6"/>
  <c r="H202" i="6"/>
  <c r="T202" i="5" s="1"/>
  <c r="G202" i="6"/>
  <c r="K202" i="12"/>
  <c r="D203" i="6"/>
  <c r="J203" i="12"/>
  <c r="L203" i="12"/>
  <c r="B204" i="6"/>
  <c r="J204" i="5"/>
  <c r="W204" i="5"/>
  <c r="H204" i="12" s="1"/>
  <c r="AD204" i="5"/>
  <c r="AE204" i="5"/>
  <c r="H204" i="5"/>
  <c r="A204" i="12"/>
  <c r="R204" i="5"/>
  <c r="B204" i="5"/>
  <c r="C205" i="5"/>
  <c r="D204" i="5"/>
  <c r="B204" i="12" s="1"/>
  <c r="N204" i="5"/>
  <c r="K204" i="5"/>
  <c r="G204" i="5"/>
  <c r="F204" i="5"/>
  <c r="E204" i="5"/>
  <c r="N198" i="12"/>
  <c r="AB199" i="5"/>
  <c r="AA199" i="5"/>
  <c r="D198" i="12"/>
  <c r="E198" i="6"/>
  <c r="U197" i="12"/>
  <c r="V197" i="12"/>
  <c r="T197" i="12"/>
  <c r="AF205" i="5"/>
  <c r="W198" i="12" l="1"/>
  <c r="U198" i="12" s="1"/>
  <c r="AU202" i="6"/>
  <c r="AQ202" i="6"/>
  <c r="AO202" i="6"/>
  <c r="AF202" i="6"/>
  <c r="AS202" i="6"/>
  <c r="BB202" i="6"/>
  <c r="BF202" i="6"/>
  <c r="AN202" i="6"/>
  <c r="AD202" i="6"/>
  <c r="AP202" i="6"/>
  <c r="BA202" i="6"/>
  <c r="AZ202" i="6"/>
  <c r="AG205" i="5"/>
  <c r="S205" i="5"/>
  <c r="F205" i="12" s="1"/>
  <c r="BC202" i="6"/>
  <c r="AR202" i="6"/>
  <c r="BG202" i="6"/>
  <c r="AV202" i="6"/>
  <c r="AX202" i="6"/>
  <c r="AT202" i="6"/>
  <c r="AG202" i="6"/>
  <c r="AY202" i="6"/>
  <c r="BE202" i="6"/>
  <c r="BD202" i="6"/>
  <c r="AM202" i="6"/>
  <c r="Y199" i="12"/>
  <c r="W199" i="12" s="1"/>
  <c r="AE202" i="6"/>
  <c r="AH202" i="6"/>
  <c r="AJ202" i="6"/>
  <c r="E204" i="12"/>
  <c r="F204" i="6"/>
  <c r="G203" i="6"/>
  <c r="H203" i="6"/>
  <c r="T203" i="5" s="1"/>
  <c r="G202" i="12"/>
  <c r="X202" i="5"/>
  <c r="C200" i="6"/>
  <c r="O200" i="5"/>
  <c r="X199" i="12"/>
  <c r="AM201" i="5"/>
  <c r="I201" i="12"/>
  <c r="L201" i="5"/>
  <c r="Z201" i="5"/>
  <c r="AC201" i="5"/>
  <c r="D204" i="6"/>
  <c r="AD205" i="5"/>
  <c r="R205" i="5"/>
  <c r="N205" i="5"/>
  <c r="F205" i="5"/>
  <c r="B205" i="6"/>
  <c r="AE205" i="5"/>
  <c r="H205" i="5"/>
  <c r="W205" i="5"/>
  <c r="H205" i="12" s="1"/>
  <c r="G205" i="5"/>
  <c r="J205" i="5"/>
  <c r="C206" i="5"/>
  <c r="A205" i="12"/>
  <c r="B205" i="5"/>
  <c r="E205" i="5"/>
  <c r="K205" i="5"/>
  <c r="D205" i="5"/>
  <c r="B205" i="12" s="1"/>
  <c r="J204" i="12"/>
  <c r="L204" i="12"/>
  <c r="K203" i="12"/>
  <c r="AI202" i="6"/>
  <c r="AK202" i="6"/>
  <c r="AC202" i="6"/>
  <c r="AB202" i="6"/>
  <c r="AB200" i="5"/>
  <c r="AA200" i="5"/>
  <c r="C200" i="12"/>
  <c r="M200" i="12"/>
  <c r="AO200" i="12"/>
  <c r="O200" i="12"/>
  <c r="E199" i="6"/>
  <c r="D199" i="12"/>
  <c r="N199" i="12"/>
  <c r="A203" i="6"/>
  <c r="AF206" i="5"/>
  <c r="V198" i="12" l="1"/>
  <c r="T198" i="12"/>
  <c r="N200" i="12"/>
  <c r="AG206" i="5"/>
  <c r="S206" i="5"/>
  <c r="F206" i="12" s="1"/>
  <c r="B206" i="5"/>
  <c r="K206" i="5"/>
  <c r="AE206" i="5"/>
  <c r="H206" i="5"/>
  <c r="F206" i="5"/>
  <c r="G206" i="5"/>
  <c r="AD206" i="5"/>
  <c r="R206" i="5"/>
  <c r="A206" i="12"/>
  <c r="J206" i="5"/>
  <c r="C207" i="5"/>
  <c r="W206" i="5"/>
  <c r="H206" i="12" s="1"/>
  <c r="B206" i="6"/>
  <c r="E206" i="5"/>
  <c r="D206" i="5"/>
  <c r="B206" i="12" s="1"/>
  <c r="N206" i="5"/>
  <c r="D205" i="6"/>
  <c r="G204" i="6"/>
  <c r="H204" i="6"/>
  <c r="T204" i="5" s="1"/>
  <c r="C201" i="6"/>
  <c r="O201" i="5"/>
  <c r="V199" i="12"/>
  <c r="T199" i="12"/>
  <c r="U199" i="12"/>
  <c r="D200" i="12"/>
  <c r="E200" i="6"/>
  <c r="L202" i="5"/>
  <c r="I202" i="12"/>
  <c r="AM202" i="5"/>
  <c r="Z202" i="5"/>
  <c r="AC202" i="5"/>
  <c r="M203" i="6"/>
  <c r="AE203" i="6" s="1"/>
  <c r="Y200" i="12"/>
  <c r="A204" i="6"/>
  <c r="K204" i="12"/>
  <c r="L205" i="12"/>
  <c r="J205" i="12"/>
  <c r="E205" i="12"/>
  <c r="F205" i="6"/>
  <c r="AA201" i="5"/>
  <c r="AB201" i="5"/>
  <c r="C201" i="12"/>
  <c r="M201" i="12"/>
  <c r="AO201" i="12"/>
  <c r="O201" i="12"/>
  <c r="G203" i="12"/>
  <c r="X203" i="5"/>
  <c r="AF207" i="5"/>
  <c r="AG203" i="6" l="1"/>
  <c r="N201" i="12"/>
  <c r="A205" i="6"/>
  <c r="M205" i="6" s="1"/>
  <c r="AX205" i="6" s="1"/>
  <c r="AG207" i="5"/>
  <c r="S207" i="5"/>
  <c r="F207" i="12" s="1"/>
  <c r="Y201" i="12"/>
  <c r="W201" i="12" s="1"/>
  <c r="X200" i="12"/>
  <c r="W200" i="12"/>
  <c r="AA202" i="5"/>
  <c r="AB202" i="5"/>
  <c r="C202" i="12"/>
  <c r="M202" i="12"/>
  <c r="O202" i="12"/>
  <c r="AO202" i="12"/>
  <c r="G205" i="6"/>
  <c r="H205" i="6"/>
  <c r="T205" i="5" s="1"/>
  <c r="F206" i="6"/>
  <c r="E206" i="12"/>
  <c r="AM203" i="5"/>
  <c r="I203" i="12"/>
  <c r="L203" i="5"/>
  <c r="Z203" i="5"/>
  <c r="AC203" i="5"/>
  <c r="K205" i="12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M204" i="6"/>
  <c r="G204" i="12"/>
  <c r="X204" i="5"/>
  <c r="D206" i="6"/>
  <c r="W207" i="5"/>
  <c r="H207" i="12" s="1"/>
  <c r="H207" i="5"/>
  <c r="N207" i="5"/>
  <c r="D207" i="5"/>
  <c r="B207" i="12" s="1"/>
  <c r="AE207" i="5"/>
  <c r="E207" i="5"/>
  <c r="J207" i="5"/>
  <c r="K207" i="5"/>
  <c r="AD207" i="5"/>
  <c r="B207" i="6"/>
  <c r="A207" i="12"/>
  <c r="F207" i="5"/>
  <c r="C208" i="5"/>
  <c r="R207" i="5"/>
  <c r="G207" i="5"/>
  <c r="B207" i="5"/>
  <c r="L206" i="12"/>
  <c r="J206" i="12"/>
  <c r="AF208" i="5"/>
  <c r="X201" i="12" l="1"/>
  <c r="BF205" i="6"/>
  <c r="AF205" i="6"/>
  <c r="AQ205" i="6"/>
  <c r="S208" i="5"/>
  <c r="F208" i="12" s="1"/>
  <c r="AG208" i="5"/>
  <c r="AU205" i="6"/>
  <c r="AY205" i="6"/>
  <c r="BC205" i="6"/>
  <c r="AC205" i="6"/>
  <c r="AS205" i="6"/>
  <c r="BB205" i="6"/>
  <c r="AO205" i="6"/>
  <c r="AP205" i="6"/>
  <c r="AM205" i="6"/>
  <c r="Y202" i="12"/>
  <c r="W202" i="12" s="1"/>
  <c r="J208" i="5"/>
  <c r="K208" i="5"/>
  <c r="W208" i="5"/>
  <c r="H208" i="12" s="1"/>
  <c r="B208" i="5"/>
  <c r="AD208" i="5"/>
  <c r="E208" i="5"/>
  <c r="G208" i="5"/>
  <c r="D208" i="5"/>
  <c r="B208" i="12" s="1"/>
  <c r="R208" i="5"/>
  <c r="AE208" i="5"/>
  <c r="H208" i="5"/>
  <c r="F208" i="5"/>
  <c r="C209" i="5"/>
  <c r="A208" i="12"/>
  <c r="N208" i="5"/>
  <c r="B208" i="6"/>
  <c r="L207" i="12"/>
  <c r="J207" i="12"/>
  <c r="L204" i="5"/>
  <c r="I204" i="12"/>
  <c r="AM204" i="5"/>
  <c r="Z204" i="5"/>
  <c r="AC204" i="5"/>
  <c r="E202" i="6"/>
  <c r="D202" i="12"/>
  <c r="C203" i="6"/>
  <c r="O203" i="5"/>
  <c r="G205" i="12"/>
  <c r="X205" i="5"/>
  <c r="AE205" i="6"/>
  <c r="AD205" i="6"/>
  <c r="AB205" i="6"/>
  <c r="U200" i="12"/>
  <c r="V200" i="12"/>
  <c r="T200" i="12"/>
  <c r="K206" i="12"/>
  <c r="F207" i="6"/>
  <c r="E207" i="12"/>
  <c r="D207" i="6"/>
  <c r="H206" i="6"/>
  <c r="T206" i="5" s="1"/>
  <c r="G206" i="6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A206" i="6"/>
  <c r="AK205" i="6"/>
  <c r="AI205" i="6"/>
  <c r="BD205" i="6"/>
  <c r="BE205" i="6"/>
  <c r="AG205" i="6"/>
  <c r="AV205" i="6"/>
  <c r="BG205" i="6"/>
  <c r="AZ205" i="6"/>
  <c r="AJ205" i="6"/>
  <c r="AH205" i="6"/>
  <c r="BA205" i="6"/>
  <c r="AT205" i="6"/>
  <c r="AN205" i="6"/>
  <c r="AR205" i="6"/>
  <c r="N202" i="12"/>
  <c r="V201" i="12"/>
  <c r="U201" i="12"/>
  <c r="T201" i="12"/>
  <c r="AF209" i="5"/>
  <c r="X202" i="12" l="1"/>
  <c r="S209" i="5"/>
  <c r="F209" i="12" s="1"/>
  <c r="AG209" i="5"/>
  <c r="A207" i="6"/>
  <c r="M207" i="6" s="1"/>
  <c r="Y203" i="12"/>
  <c r="X203" i="12" s="1"/>
  <c r="G206" i="12"/>
  <c r="X206" i="5"/>
  <c r="H207" i="6"/>
  <c r="T207" i="5" s="1"/>
  <c r="G207" i="6"/>
  <c r="U202" i="12"/>
  <c r="V202" i="12"/>
  <c r="T202" i="12"/>
  <c r="AB204" i="5"/>
  <c r="AA204" i="5"/>
  <c r="C204" i="6"/>
  <c r="O204" i="5"/>
  <c r="J208" i="12"/>
  <c r="L208" i="12"/>
  <c r="N203" i="12"/>
  <c r="M206" i="6"/>
  <c r="AM205" i="5"/>
  <c r="L205" i="5"/>
  <c r="I205" i="12"/>
  <c r="Z205" i="5"/>
  <c r="AC205" i="5"/>
  <c r="D203" i="12"/>
  <c r="E203" i="6"/>
  <c r="C204" i="12"/>
  <c r="O204" i="12"/>
  <c r="M204" i="12"/>
  <c r="AO204" i="12"/>
  <c r="K207" i="12"/>
  <c r="D208" i="6"/>
  <c r="B209" i="5"/>
  <c r="H209" i="5"/>
  <c r="B209" i="6"/>
  <c r="AD209" i="5"/>
  <c r="A209" i="12"/>
  <c r="F209" i="5"/>
  <c r="N209" i="5"/>
  <c r="E209" i="5"/>
  <c r="AE209" i="5"/>
  <c r="J209" i="5"/>
  <c r="C210" i="5"/>
  <c r="W209" i="5"/>
  <c r="H209" i="12" s="1"/>
  <c r="R209" i="5"/>
  <c r="D209" i="5"/>
  <c r="B209" i="12" s="1"/>
  <c r="G209" i="5"/>
  <c r="K209" i="5"/>
  <c r="E208" i="12"/>
  <c r="F208" i="6"/>
  <c r="AF210" i="5"/>
  <c r="Y204" i="12" l="1"/>
  <c r="W204" i="12" s="1"/>
  <c r="AG207" i="6"/>
  <c r="AC207" i="6"/>
  <c r="W203" i="12"/>
  <c r="V203" i="12" s="1"/>
  <c r="AR207" i="6"/>
  <c r="AD207" i="6"/>
  <c r="BB207" i="6"/>
  <c r="AG210" i="5"/>
  <c r="S210" i="5"/>
  <c r="F210" i="12" s="1"/>
  <c r="AF207" i="6"/>
  <c r="AV207" i="6"/>
  <c r="BC207" i="6"/>
  <c r="AO207" i="6"/>
  <c r="K208" i="12"/>
  <c r="N204" i="12"/>
  <c r="AS207" i="6"/>
  <c r="AZ207" i="6"/>
  <c r="AX207" i="6"/>
  <c r="AI207" i="6"/>
  <c r="AH207" i="6"/>
  <c r="BG207" i="6"/>
  <c r="BA207" i="6"/>
  <c r="J209" i="12"/>
  <c r="L209" i="12"/>
  <c r="H208" i="6"/>
  <c r="T208" i="5" s="1"/>
  <c r="G208" i="6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208" i="6"/>
  <c r="M208" i="6" s="1"/>
  <c r="AM206" i="5"/>
  <c r="L206" i="5"/>
  <c r="I206" i="12"/>
  <c r="Z206" i="5"/>
  <c r="AC206" i="5"/>
  <c r="E209" i="12"/>
  <c r="F209" i="6"/>
  <c r="E210" i="5"/>
  <c r="B210" i="6"/>
  <c r="H210" i="5"/>
  <c r="N210" i="5"/>
  <c r="A210" i="12"/>
  <c r="R210" i="5"/>
  <c r="K210" i="5"/>
  <c r="G210" i="5"/>
  <c r="B210" i="5"/>
  <c r="J210" i="5"/>
  <c r="C211" i="5"/>
  <c r="F210" i="5"/>
  <c r="AD210" i="5"/>
  <c r="D210" i="5"/>
  <c r="B210" i="12" s="1"/>
  <c r="W210" i="5"/>
  <c r="H210" i="12" s="1"/>
  <c r="AE210" i="5"/>
  <c r="D209" i="6"/>
  <c r="C205" i="12"/>
  <c r="O205" i="12"/>
  <c r="M205" i="12"/>
  <c r="AO205" i="12"/>
  <c r="AB206" i="6"/>
  <c r="AG206" i="6"/>
  <c r="AE206" i="6"/>
  <c r="E204" i="6"/>
  <c r="D204" i="12"/>
  <c r="AN207" i="6"/>
  <c r="AT207" i="6"/>
  <c r="AK207" i="6"/>
  <c r="AB207" i="6"/>
  <c r="BD207" i="6"/>
  <c r="AJ207" i="6"/>
  <c r="AQ207" i="6"/>
  <c r="AM207" i="6"/>
  <c r="AP207" i="6"/>
  <c r="AU207" i="6"/>
  <c r="AY207" i="6"/>
  <c r="BE207" i="6"/>
  <c r="BF207" i="6"/>
  <c r="AE207" i="6"/>
  <c r="G207" i="12"/>
  <c r="X207" i="5"/>
  <c r="AF211" i="5"/>
  <c r="X204" i="12" l="1"/>
  <c r="Y205" i="12"/>
  <c r="X205" i="12" s="1"/>
  <c r="U203" i="12"/>
  <c r="T203" i="12"/>
  <c r="S211" i="5"/>
  <c r="F211" i="12" s="1"/>
  <c r="AG211" i="5"/>
  <c r="K209" i="12"/>
  <c r="AQ208" i="6"/>
  <c r="AO208" i="6"/>
  <c r="BF208" i="6"/>
  <c r="AZ208" i="6"/>
  <c r="AV208" i="6"/>
  <c r="BA208" i="6"/>
  <c r="AX208" i="6"/>
  <c r="AM208" i="6"/>
  <c r="AS208" i="6"/>
  <c r="AR208" i="6"/>
  <c r="BB208" i="6"/>
  <c r="BE208" i="6"/>
  <c r="BD208" i="6"/>
  <c r="AU208" i="6"/>
  <c r="AT208" i="6"/>
  <c r="BC208" i="6"/>
  <c r="AY208" i="6"/>
  <c r="AJ208" i="6"/>
  <c r="BG208" i="6"/>
  <c r="AK208" i="6"/>
  <c r="AD208" i="6"/>
  <c r="AN208" i="6"/>
  <c r="AP208" i="6"/>
  <c r="AM207" i="5"/>
  <c r="L207" i="5"/>
  <c r="I207" i="12"/>
  <c r="Z207" i="5"/>
  <c r="AC207" i="5"/>
  <c r="G209" i="6"/>
  <c r="H209" i="6"/>
  <c r="T209" i="5" s="1"/>
  <c r="R211" i="5"/>
  <c r="W211" i="5"/>
  <c r="H211" i="12" s="1"/>
  <c r="N211" i="5"/>
  <c r="B211" i="6"/>
  <c r="D211" i="5"/>
  <c r="B211" i="12" s="1"/>
  <c r="F211" i="5"/>
  <c r="J211" i="5"/>
  <c r="E211" i="5"/>
  <c r="A211" i="12"/>
  <c r="AE211" i="5"/>
  <c r="K211" i="5"/>
  <c r="G211" i="5"/>
  <c r="AD211" i="5"/>
  <c r="B211" i="5"/>
  <c r="H211" i="5"/>
  <c r="C212" i="5"/>
  <c r="J210" i="12"/>
  <c r="L210" i="12"/>
  <c r="AA206" i="5"/>
  <c r="AB206" i="5"/>
  <c r="C206" i="6"/>
  <c r="O206" i="5"/>
  <c r="D205" i="12"/>
  <c r="E205" i="6"/>
  <c r="G208" i="12"/>
  <c r="X208" i="5"/>
  <c r="AF208" i="6"/>
  <c r="AI208" i="6"/>
  <c r="AG208" i="6"/>
  <c r="A209" i="6"/>
  <c r="M209" i="6" s="1"/>
  <c r="N205" i="12"/>
  <c r="F210" i="6"/>
  <c r="E210" i="12"/>
  <c r="D210" i="6"/>
  <c r="C206" i="12"/>
  <c r="O206" i="12"/>
  <c r="M206" i="12"/>
  <c r="AO206" i="12"/>
  <c r="U204" i="12"/>
  <c r="V204" i="12"/>
  <c r="T204" i="12"/>
  <c r="AB208" i="6"/>
  <c r="AC208" i="6"/>
  <c r="AE208" i="6"/>
  <c r="AH208" i="6"/>
  <c r="AF212" i="5"/>
  <c r="W205" i="12" l="1"/>
  <c r="T205" i="12" s="1"/>
  <c r="Y206" i="12"/>
  <c r="X206" i="12" s="1"/>
  <c r="S212" i="5"/>
  <c r="F212" i="12" s="1"/>
  <c r="AG212" i="5"/>
  <c r="AN209" i="6"/>
  <c r="AZ209" i="6"/>
  <c r="AU209" i="6"/>
  <c r="AD209" i="6"/>
  <c r="H210" i="6"/>
  <c r="T210" i="5" s="1"/>
  <c r="G210" i="6"/>
  <c r="I208" i="12"/>
  <c r="L208" i="5"/>
  <c r="AM208" i="5"/>
  <c r="Z208" i="5"/>
  <c r="AC208" i="5"/>
  <c r="D206" i="12"/>
  <c r="E206" i="6"/>
  <c r="L211" i="12"/>
  <c r="J211" i="12"/>
  <c r="D211" i="6"/>
  <c r="E211" i="12"/>
  <c r="F211" i="6"/>
  <c r="AS209" i="6"/>
  <c r="AH209" i="6"/>
  <c r="AK209" i="6"/>
  <c r="AG209" i="6"/>
  <c r="BG209" i="6"/>
  <c r="AO209" i="6"/>
  <c r="AT209" i="6"/>
  <c r="AJ209" i="6"/>
  <c r="AX209" i="6"/>
  <c r="AI209" i="6"/>
  <c r="AV209" i="6"/>
  <c r="AQ209" i="6"/>
  <c r="AA207" i="5"/>
  <c r="AB207" i="5"/>
  <c r="C207" i="12"/>
  <c r="O207" i="12"/>
  <c r="AO207" i="12"/>
  <c r="M207" i="12"/>
  <c r="N206" i="12"/>
  <c r="A210" i="6"/>
  <c r="M210" i="6" s="1"/>
  <c r="K210" i="12"/>
  <c r="AE212" i="5"/>
  <c r="B212" i="6"/>
  <c r="G212" i="5"/>
  <c r="F212" i="5"/>
  <c r="H212" i="5"/>
  <c r="AD212" i="5"/>
  <c r="A212" i="12"/>
  <c r="R212" i="5"/>
  <c r="W212" i="5"/>
  <c r="H212" i="12" s="1"/>
  <c r="B212" i="5"/>
  <c r="K212" i="5"/>
  <c r="E212" i="5"/>
  <c r="D212" i="5"/>
  <c r="B212" i="12" s="1"/>
  <c r="C213" i="5"/>
  <c r="N212" i="5"/>
  <c r="J212" i="5"/>
  <c r="BB209" i="6"/>
  <c r="AR209" i="6"/>
  <c r="AE209" i="6"/>
  <c r="AC209" i="6"/>
  <c r="BE209" i="6"/>
  <c r="BA209" i="6"/>
  <c r="AY209" i="6"/>
  <c r="AP209" i="6"/>
  <c r="G209" i="12"/>
  <c r="X209" i="5"/>
  <c r="BC209" i="6"/>
  <c r="BF209" i="6"/>
  <c r="BD209" i="6"/>
  <c r="AB209" i="6"/>
  <c r="AM209" i="6"/>
  <c r="AF209" i="6"/>
  <c r="C207" i="6"/>
  <c r="O207" i="5"/>
  <c r="AF213" i="5"/>
  <c r="U205" i="12" l="1"/>
  <c r="V205" i="12"/>
  <c r="W206" i="12"/>
  <c r="U206" i="12" s="1"/>
  <c r="AG213" i="5"/>
  <c r="S213" i="5"/>
  <c r="F213" i="12" s="1"/>
  <c r="A211" i="6"/>
  <c r="M211" i="6" s="1"/>
  <c r="AT211" i="6" s="1"/>
  <c r="Y207" i="12"/>
  <c r="X207" i="12" s="1"/>
  <c r="AV210" i="6"/>
  <c r="BC210" i="6"/>
  <c r="AG210" i="6"/>
  <c r="AS210" i="6"/>
  <c r="AD210" i="6"/>
  <c r="BF210" i="6"/>
  <c r="BD210" i="6"/>
  <c r="AK210" i="6"/>
  <c r="AT210" i="6"/>
  <c r="AB210" i="6"/>
  <c r="BG210" i="6"/>
  <c r="AI210" i="6"/>
  <c r="AN210" i="6"/>
  <c r="BA210" i="6"/>
  <c r="AO210" i="6"/>
  <c r="E207" i="6"/>
  <c r="D207" i="12"/>
  <c r="I209" i="12"/>
  <c r="AM209" i="5"/>
  <c r="L209" i="5"/>
  <c r="Z209" i="5"/>
  <c r="AC209" i="5"/>
  <c r="D212" i="6"/>
  <c r="E212" i="12"/>
  <c r="F212" i="6"/>
  <c r="C208" i="6"/>
  <c r="O208" i="5"/>
  <c r="N213" i="5"/>
  <c r="J213" i="5"/>
  <c r="F213" i="5"/>
  <c r="R213" i="5"/>
  <c r="AE213" i="5"/>
  <c r="G213" i="5"/>
  <c r="E213" i="5"/>
  <c r="A213" i="12"/>
  <c r="AD213" i="5"/>
  <c r="B213" i="5"/>
  <c r="C214" i="5"/>
  <c r="D213" i="5"/>
  <c r="B213" i="12" s="1"/>
  <c r="B213" i="6"/>
  <c r="H213" i="5"/>
  <c r="W213" i="5"/>
  <c r="H213" i="12" s="1"/>
  <c r="K213" i="5"/>
  <c r="J212" i="12"/>
  <c r="L212" i="12"/>
  <c r="N207" i="12"/>
  <c r="G211" i="6"/>
  <c r="H211" i="6"/>
  <c r="T211" i="5" s="1"/>
  <c r="K211" i="12"/>
  <c r="AB208" i="5"/>
  <c r="AA208" i="5"/>
  <c r="C208" i="12"/>
  <c r="M208" i="12"/>
  <c r="AO208" i="12"/>
  <c r="O208" i="12"/>
  <c r="AH210" i="6"/>
  <c r="BE210" i="6"/>
  <c r="AR210" i="6"/>
  <c r="AP210" i="6"/>
  <c r="AF210" i="6"/>
  <c r="BB210" i="6"/>
  <c r="AX210" i="6"/>
  <c r="AY210" i="6"/>
  <c r="AE210" i="6"/>
  <c r="AC210" i="6"/>
  <c r="AJ210" i="6"/>
  <c r="AZ210" i="6"/>
  <c r="AU210" i="6"/>
  <c r="AM210" i="6"/>
  <c r="AQ210" i="6"/>
  <c r="G210" i="12"/>
  <c r="X210" i="5"/>
  <c r="AF214" i="5"/>
  <c r="V206" i="12" l="1"/>
  <c r="T206" i="12"/>
  <c r="A212" i="6"/>
  <c r="M212" i="6" s="1"/>
  <c r="AR212" i="6" s="1"/>
  <c r="N208" i="12"/>
  <c r="BE211" i="6"/>
  <c r="W207" i="12"/>
  <c r="V207" i="12" s="1"/>
  <c r="AS211" i="6"/>
  <c r="BG211" i="6"/>
  <c r="AG214" i="5"/>
  <c r="S214" i="5"/>
  <c r="F214" i="12" s="1"/>
  <c r="Y208" i="12"/>
  <c r="X208" i="12" s="1"/>
  <c r="AG211" i="6"/>
  <c r="AC211" i="6"/>
  <c r="BF211" i="6"/>
  <c r="AM210" i="5"/>
  <c r="I210" i="12"/>
  <c r="L210" i="5"/>
  <c r="Z210" i="5"/>
  <c r="AC210" i="5"/>
  <c r="G211" i="12"/>
  <c r="X211" i="5"/>
  <c r="AI211" i="6"/>
  <c r="AK211" i="6"/>
  <c r="AQ211" i="6"/>
  <c r="AR211" i="6"/>
  <c r="BB211" i="6"/>
  <c r="BC211" i="6"/>
  <c r="AF211" i="6"/>
  <c r="BD211" i="6"/>
  <c r="D213" i="6"/>
  <c r="AJ211" i="6"/>
  <c r="AM211" i="6"/>
  <c r="AY211" i="6"/>
  <c r="AO211" i="6"/>
  <c r="AX211" i="6"/>
  <c r="AP211" i="6"/>
  <c r="AN211" i="6"/>
  <c r="AB211" i="6"/>
  <c r="AH211" i="6"/>
  <c r="BA211" i="6"/>
  <c r="AV211" i="6"/>
  <c r="AZ211" i="6"/>
  <c r="AD211" i="6"/>
  <c r="AU211" i="6"/>
  <c r="AE211" i="6"/>
  <c r="K212" i="12"/>
  <c r="J214" i="5"/>
  <c r="R214" i="5"/>
  <c r="B214" i="5"/>
  <c r="C215" i="5"/>
  <c r="W214" i="5"/>
  <c r="H214" i="12" s="1"/>
  <c r="N214" i="5"/>
  <c r="H214" i="5"/>
  <c r="E214" i="5"/>
  <c r="D214" i="5"/>
  <c r="B214" i="12" s="1"/>
  <c r="F214" i="5"/>
  <c r="A214" i="12"/>
  <c r="K214" i="5"/>
  <c r="AE214" i="5"/>
  <c r="G214" i="5"/>
  <c r="AD214" i="5"/>
  <c r="B214" i="6"/>
  <c r="J213" i="12"/>
  <c r="L213" i="12"/>
  <c r="F213" i="6"/>
  <c r="E213" i="12"/>
  <c r="D208" i="12"/>
  <c r="E208" i="6"/>
  <c r="G212" i="6"/>
  <c r="H212" i="6"/>
  <c r="T212" i="5" s="1"/>
  <c r="AB209" i="5"/>
  <c r="AA209" i="5"/>
  <c r="C209" i="6"/>
  <c r="O209" i="5"/>
  <c r="C209" i="12"/>
  <c r="AO209" i="12"/>
  <c r="O209" i="12"/>
  <c r="M209" i="12"/>
  <c r="AF215" i="5"/>
  <c r="W208" i="12" l="1"/>
  <c r="T208" i="12" s="1"/>
  <c r="T207" i="12"/>
  <c r="U207" i="12"/>
  <c r="BG212" i="6"/>
  <c r="AM212" i="6"/>
  <c r="AD212" i="6"/>
  <c r="AG215" i="5"/>
  <c r="S215" i="5"/>
  <c r="F215" i="12" s="1"/>
  <c r="N209" i="12"/>
  <c r="AQ212" i="6"/>
  <c r="BD212" i="6"/>
  <c r="BC212" i="6"/>
  <c r="AN212" i="6"/>
  <c r="AY212" i="6"/>
  <c r="AP212" i="6"/>
  <c r="AH212" i="6"/>
  <c r="AC212" i="6"/>
  <c r="AI212" i="6"/>
  <c r="AJ212" i="6"/>
  <c r="BA212" i="6"/>
  <c r="AZ212" i="6"/>
  <c r="BB212" i="6"/>
  <c r="AV212" i="6"/>
  <c r="AF212" i="6"/>
  <c r="AT212" i="6"/>
  <c r="L214" i="12"/>
  <c r="J214" i="12"/>
  <c r="H213" i="6"/>
  <c r="T213" i="5" s="1"/>
  <c r="G213" i="6"/>
  <c r="I211" i="12"/>
  <c r="L211" i="5"/>
  <c r="AM211" i="5"/>
  <c r="Z211" i="5"/>
  <c r="AC211" i="5"/>
  <c r="C210" i="12"/>
  <c r="AO210" i="12"/>
  <c r="O210" i="12"/>
  <c r="M210" i="12"/>
  <c r="Y209" i="12"/>
  <c r="D209" i="12"/>
  <c r="E209" i="6"/>
  <c r="AX212" i="6"/>
  <c r="AG212" i="6"/>
  <c r="BE212" i="6"/>
  <c r="G212" i="12"/>
  <c r="X212" i="5"/>
  <c r="AU212" i="6"/>
  <c r="AS212" i="6"/>
  <c r="AK212" i="6"/>
  <c r="AE212" i="6"/>
  <c r="AB212" i="6"/>
  <c r="AO212" i="6"/>
  <c r="BF212" i="6"/>
  <c r="K213" i="12"/>
  <c r="D214" i="6"/>
  <c r="J215" i="5"/>
  <c r="E215" i="5"/>
  <c r="N215" i="5"/>
  <c r="H215" i="5"/>
  <c r="AE215" i="5"/>
  <c r="W215" i="5"/>
  <c r="H215" i="12" s="1"/>
  <c r="A215" i="12"/>
  <c r="B215" i="6"/>
  <c r="D215" i="5"/>
  <c r="B215" i="12" s="1"/>
  <c r="G215" i="5"/>
  <c r="B215" i="5"/>
  <c r="AD215" i="5"/>
  <c r="F215" i="5"/>
  <c r="R215" i="5"/>
  <c r="C216" i="5"/>
  <c r="K215" i="5"/>
  <c r="F214" i="6"/>
  <c r="E214" i="12"/>
  <c r="A213" i="6"/>
  <c r="M213" i="6" s="1"/>
  <c r="AA210" i="5"/>
  <c r="AB210" i="5"/>
  <c r="C210" i="6"/>
  <c r="O210" i="5"/>
  <c r="AF216" i="5"/>
  <c r="V208" i="12" l="1"/>
  <c r="U208" i="12"/>
  <c r="N210" i="12"/>
  <c r="AG216" i="5"/>
  <c r="S216" i="5"/>
  <c r="F216" i="12" s="1"/>
  <c r="AS213" i="6"/>
  <c r="AM213" i="6"/>
  <c r="AV213" i="6"/>
  <c r="BF213" i="6"/>
  <c r="BG213" i="6"/>
  <c r="AO213" i="6"/>
  <c r="AQ213" i="6"/>
  <c r="BE213" i="6"/>
  <c r="AX213" i="6"/>
  <c r="AY213" i="6"/>
  <c r="AP213" i="6"/>
  <c r="BC213" i="6"/>
  <c r="BA213" i="6"/>
  <c r="AN213" i="6"/>
  <c r="AU213" i="6"/>
  <c r="AT213" i="6"/>
  <c r="AG213" i="6"/>
  <c r="AZ213" i="6"/>
  <c r="BD213" i="6"/>
  <c r="AR213" i="6"/>
  <c r="AC213" i="6"/>
  <c r="BB213" i="6"/>
  <c r="AB213" i="6"/>
  <c r="D210" i="12"/>
  <c r="E210" i="6"/>
  <c r="E215" i="12"/>
  <c r="F215" i="6"/>
  <c r="G214" i="6"/>
  <c r="H214" i="6"/>
  <c r="T214" i="5" s="1"/>
  <c r="A214" i="6"/>
  <c r="M214" i="6" s="1"/>
  <c r="X209" i="12"/>
  <c r="W209" i="12"/>
  <c r="C211" i="12"/>
  <c r="M211" i="12"/>
  <c r="AO211" i="12"/>
  <c r="O211" i="12"/>
  <c r="G213" i="12"/>
  <c r="X213" i="5"/>
  <c r="AK213" i="6"/>
  <c r="J216" i="5"/>
  <c r="N216" i="5"/>
  <c r="B216" i="5"/>
  <c r="D216" i="5"/>
  <c r="B216" i="12" s="1"/>
  <c r="E216" i="5"/>
  <c r="K216" i="5"/>
  <c r="W216" i="5"/>
  <c r="H216" i="12" s="1"/>
  <c r="C217" i="5"/>
  <c r="R216" i="5"/>
  <c r="G216" i="5"/>
  <c r="AD216" i="5"/>
  <c r="F216" i="5"/>
  <c r="AE216" i="5"/>
  <c r="A216" i="12"/>
  <c r="B216" i="6"/>
  <c r="H216" i="5"/>
  <c r="L215" i="12"/>
  <c r="J215" i="12"/>
  <c r="D215" i="6"/>
  <c r="L212" i="5"/>
  <c r="AM212" i="5"/>
  <c r="I212" i="12"/>
  <c r="Z212" i="5"/>
  <c r="AC212" i="5"/>
  <c r="Y210" i="12"/>
  <c r="AA211" i="5"/>
  <c r="AB211" i="5"/>
  <c r="C211" i="6"/>
  <c r="O211" i="5"/>
  <c r="AE213" i="6"/>
  <c r="AI213" i="6"/>
  <c r="AH213" i="6"/>
  <c r="AD213" i="6"/>
  <c r="AJ213" i="6"/>
  <c r="AF213" i="6"/>
  <c r="K214" i="12"/>
  <c r="AF217" i="5"/>
  <c r="N211" i="12" l="1"/>
  <c r="S217" i="5"/>
  <c r="F217" i="12" s="1"/>
  <c r="AG217" i="5"/>
  <c r="Y211" i="12"/>
  <c r="X211" i="12" s="1"/>
  <c r="A215" i="6"/>
  <c r="BE214" i="6"/>
  <c r="BA214" i="6"/>
  <c r="AV214" i="6"/>
  <c r="BD214" i="6"/>
  <c r="BC214" i="6"/>
  <c r="AT214" i="6"/>
  <c r="AY214" i="6"/>
  <c r="AX214" i="6"/>
  <c r="AS214" i="6"/>
  <c r="BF214" i="6"/>
  <c r="AR214" i="6"/>
  <c r="AO214" i="6"/>
  <c r="AM214" i="6"/>
  <c r="AQ214" i="6"/>
  <c r="AU214" i="6"/>
  <c r="AP214" i="6"/>
  <c r="AJ214" i="6"/>
  <c r="BG214" i="6"/>
  <c r="AZ214" i="6"/>
  <c r="AI214" i="6"/>
  <c r="AN214" i="6"/>
  <c r="BB214" i="6"/>
  <c r="AD214" i="6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B217" i="5"/>
  <c r="N217" i="5"/>
  <c r="K217" i="5"/>
  <c r="E217" i="5"/>
  <c r="AE217" i="5"/>
  <c r="D217" i="5"/>
  <c r="B217" i="12" s="1"/>
  <c r="F217" i="5"/>
  <c r="R217" i="5"/>
  <c r="G217" i="5"/>
  <c r="W217" i="5"/>
  <c r="H217" i="12" s="1"/>
  <c r="C218" i="5"/>
  <c r="AD217" i="5"/>
  <c r="H217" i="5"/>
  <c r="A217" i="12"/>
  <c r="B217" i="6"/>
  <c r="J217" i="5"/>
  <c r="D216" i="6"/>
  <c r="G214" i="12"/>
  <c r="X214" i="5"/>
  <c r="AF214" i="6"/>
  <c r="AH214" i="6"/>
  <c r="H215" i="6"/>
  <c r="T215" i="5" s="1"/>
  <c r="G215" i="6"/>
  <c r="K215" i="12"/>
  <c r="J216" i="12"/>
  <c r="L216" i="12"/>
  <c r="F216" i="6"/>
  <c r="E216" i="12"/>
  <c r="I213" i="12"/>
  <c r="AM213" i="5"/>
  <c r="L213" i="5"/>
  <c r="Z213" i="5"/>
  <c r="AC213" i="5"/>
  <c r="T209" i="12"/>
  <c r="U209" i="12"/>
  <c r="V209" i="12"/>
  <c r="AK214" i="6"/>
  <c r="AE214" i="6"/>
  <c r="AG214" i="6"/>
  <c r="AB214" i="6"/>
  <c r="AC214" i="6"/>
  <c r="AF218" i="5"/>
  <c r="W211" i="12" l="1"/>
  <c r="U211" i="12" s="1"/>
  <c r="M215" i="6"/>
  <c r="AF215" i="6" s="1"/>
  <c r="S218" i="5"/>
  <c r="F218" i="12" s="1"/>
  <c r="AG218" i="5"/>
  <c r="N212" i="12"/>
  <c r="AB213" i="5"/>
  <c r="AA213" i="5"/>
  <c r="I214" i="12"/>
  <c r="AM214" i="5"/>
  <c r="L214" i="5"/>
  <c r="Z214" i="5"/>
  <c r="AC214" i="5"/>
  <c r="G216" i="6"/>
  <c r="H216" i="6"/>
  <c r="T216" i="5" s="1"/>
  <c r="L217" i="12"/>
  <c r="J217" i="12"/>
  <c r="B218" i="6"/>
  <c r="AD218" i="5"/>
  <c r="R218" i="5"/>
  <c r="AE218" i="5"/>
  <c r="J218" i="5"/>
  <c r="K218" i="5"/>
  <c r="W218" i="5"/>
  <c r="H218" i="12" s="1"/>
  <c r="N218" i="5"/>
  <c r="B218" i="5"/>
  <c r="H218" i="5"/>
  <c r="E218" i="5"/>
  <c r="F218" i="5"/>
  <c r="D218" i="5"/>
  <c r="B218" i="12" s="1"/>
  <c r="G218" i="5"/>
  <c r="C219" i="5"/>
  <c r="A218" i="12"/>
  <c r="E217" i="12"/>
  <c r="F217" i="6"/>
  <c r="D217" i="6"/>
  <c r="A216" i="6"/>
  <c r="U210" i="12"/>
  <c r="T210" i="12"/>
  <c r="V210" i="12"/>
  <c r="C213" i="6"/>
  <c r="O213" i="5"/>
  <c r="C213" i="12"/>
  <c r="O213" i="12"/>
  <c r="AO213" i="12"/>
  <c r="M213" i="12"/>
  <c r="K216" i="12"/>
  <c r="G215" i="12"/>
  <c r="X215" i="5"/>
  <c r="D212" i="12"/>
  <c r="E212" i="6"/>
  <c r="Y212" i="12"/>
  <c r="AF219" i="5"/>
  <c r="AX215" i="6" l="1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AG219" i="5"/>
  <c r="S219" i="5"/>
  <c r="F219" i="12" s="1"/>
  <c r="A217" i="6"/>
  <c r="K217" i="12"/>
  <c r="M216" i="6"/>
  <c r="AU216" i="6" s="1"/>
  <c r="X212" i="12"/>
  <c r="W212" i="12"/>
  <c r="I215" i="12"/>
  <c r="L215" i="5"/>
  <c r="AM215" i="5"/>
  <c r="Z215" i="5"/>
  <c r="AC215" i="5"/>
  <c r="N213" i="12"/>
  <c r="E213" i="6"/>
  <c r="D213" i="12"/>
  <c r="L218" i="12"/>
  <c r="J218" i="12"/>
  <c r="D218" i="6"/>
  <c r="Y213" i="12"/>
  <c r="H217" i="6"/>
  <c r="T217" i="5" s="1"/>
  <c r="G217" i="6"/>
  <c r="B219" i="6"/>
  <c r="A219" i="12"/>
  <c r="K219" i="5"/>
  <c r="F219" i="5"/>
  <c r="C220" i="5"/>
  <c r="AE219" i="5"/>
  <c r="R219" i="5"/>
  <c r="N219" i="5"/>
  <c r="H219" i="5"/>
  <c r="D219" i="5"/>
  <c r="B219" i="12" s="1"/>
  <c r="B219" i="5"/>
  <c r="G219" i="5"/>
  <c r="AD219" i="5"/>
  <c r="W219" i="5"/>
  <c r="H219" i="12" s="1"/>
  <c r="E219" i="5"/>
  <c r="J219" i="5"/>
  <c r="F218" i="6"/>
  <c r="E218" i="12"/>
  <c r="G216" i="12"/>
  <c r="X216" i="5"/>
  <c r="AB214" i="5"/>
  <c r="AA214" i="5"/>
  <c r="C214" i="6"/>
  <c r="O214" i="5"/>
  <c r="C214" i="12"/>
  <c r="AO214" i="12"/>
  <c r="M214" i="12"/>
  <c r="O214" i="12"/>
  <c r="AF220" i="5"/>
  <c r="A218" i="6" l="1"/>
  <c r="M218" i="6" s="1"/>
  <c r="BD218" i="6" s="1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M217" i="6"/>
  <c r="BE217" i="6" s="1"/>
  <c r="AC216" i="6"/>
  <c r="AI216" i="6"/>
  <c r="AG216" i="6"/>
  <c r="AP216" i="6"/>
  <c r="AO216" i="6"/>
  <c r="AS216" i="6"/>
  <c r="AG220" i="5"/>
  <c r="S220" i="5"/>
  <c r="F220" i="12" s="1"/>
  <c r="N214" i="12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AC216" i="5"/>
  <c r="E219" i="12"/>
  <c r="F219" i="6"/>
  <c r="R220" i="5"/>
  <c r="J220" i="5"/>
  <c r="G220" i="5"/>
  <c r="B220" i="6"/>
  <c r="AE220" i="5"/>
  <c r="K220" i="5"/>
  <c r="C221" i="5"/>
  <c r="W220" i="5"/>
  <c r="H220" i="12" s="1"/>
  <c r="D220" i="5"/>
  <c r="B220" i="12" s="1"/>
  <c r="H220" i="5"/>
  <c r="N220" i="5"/>
  <c r="F220" i="5"/>
  <c r="E220" i="5"/>
  <c r="A220" i="12"/>
  <c r="B220" i="5"/>
  <c r="AD220" i="5"/>
  <c r="G217" i="12"/>
  <c r="X217" i="5"/>
  <c r="H218" i="6"/>
  <c r="T218" i="5" s="1"/>
  <c r="G218" i="6"/>
  <c r="K218" i="12"/>
  <c r="C215" i="6"/>
  <c r="O215" i="5"/>
  <c r="V212" i="12"/>
  <c r="T212" i="12"/>
  <c r="U212" i="12"/>
  <c r="D219" i="6"/>
  <c r="L219" i="12"/>
  <c r="J219" i="12"/>
  <c r="X213" i="12"/>
  <c r="W213" i="12"/>
  <c r="AA215" i="5"/>
  <c r="AB215" i="5"/>
  <c r="C215" i="12"/>
  <c r="M215" i="12"/>
  <c r="AO215" i="12"/>
  <c r="O215" i="12"/>
  <c r="AF221" i="5"/>
  <c r="AV217" i="6" l="1"/>
  <c r="A219" i="6"/>
  <c r="M219" i="6" s="1"/>
  <c r="BE219" i="6" s="1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AO218" i="6"/>
  <c r="N215" i="12"/>
  <c r="BG218" i="6"/>
  <c r="AS218" i="6"/>
  <c r="AG221" i="5"/>
  <c r="S221" i="5"/>
  <c r="F221" i="12" s="1"/>
  <c r="AQ218" i="6"/>
  <c r="BE218" i="6"/>
  <c r="AU218" i="6"/>
  <c r="AB218" i="6"/>
  <c r="AI218" i="6"/>
  <c r="AJ218" i="6"/>
  <c r="AR218" i="6"/>
  <c r="AP218" i="6"/>
  <c r="AE218" i="6"/>
  <c r="AZ218" i="6"/>
  <c r="AM218" i="6"/>
  <c r="BF218" i="6"/>
  <c r="T213" i="12"/>
  <c r="V213" i="12"/>
  <c r="U213" i="12"/>
  <c r="L217" i="5"/>
  <c r="I217" i="12"/>
  <c r="AM217" i="5"/>
  <c r="Z217" i="5"/>
  <c r="AC217" i="5"/>
  <c r="D220" i="6"/>
  <c r="AD221" i="5"/>
  <c r="F221" i="5"/>
  <c r="D221" i="5"/>
  <c r="B221" i="12" s="1"/>
  <c r="E221" i="5"/>
  <c r="A221" i="12"/>
  <c r="K221" i="5"/>
  <c r="H221" i="5"/>
  <c r="R221" i="5"/>
  <c r="B221" i="6"/>
  <c r="N221" i="5"/>
  <c r="B221" i="5"/>
  <c r="AE221" i="5"/>
  <c r="C222" i="5"/>
  <c r="W221" i="5"/>
  <c r="H221" i="12" s="1"/>
  <c r="G221" i="5"/>
  <c r="J221" i="5"/>
  <c r="E220" i="12"/>
  <c r="F220" i="6"/>
  <c r="AB216" i="5"/>
  <c r="AA216" i="5"/>
  <c r="C216" i="12"/>
  <c r="AO216" i="12"/>
  <c r="M216" i="12"/>
  <c r="O216" i="12"/>
  <c r="C216" i="6"/>
  <c r="O216" i="5"/>
  <c r="Y215" i="12"/>
  <c r="K219" i="12"/>
  <c r="H219" i="6"/>
  <c r="T219" i="5" s="1"/>
  <c r="G219" i="6"/>
  <c r="D215" i="12"/>
  <c r="E215" i="6"/>
  <c r="AK218" i="6"/>
  <c r="AC218" i="6"/>
  <c r="AV218" i="6"/>
  <c r="AH218" i="6"/>
  <c r="BA218" i="6"/>
  <c r="AN218" i="6"/>
  <c r="AY218" i="6"/>
  <c r="AG218" i="6"/>
  <c r="AF218" i="6"/>
  <c r="AX218" i="6"/>
  <c r="AD218" i="6"/>
  <c r="BC218" i="6"/>
  <c r="AT218" i="6"/>
  <c r="BB218" i="6"/>
  <c r="G218" i="12"/>
  <c r="X218" i="5"/>
  <c r="J220" i="12"/>
  <c r="L220" i="12"/>
  <c r="W214" i="12"/>
  <c r="X214" i="12"/>
  <c r="AF222" i="5"/>
  <c r="AM219" i="6" l="1"/>
  <c r="AE219" i="6"/>
  <c r="AG222" i="5"/>
  <c r="S222" i="5"/>
  <c r="F222" i="12" s="1"/>
  <c r="AB219" i="6"/>
  <c r="AD219" i="6"/>
  <c r="BG219" i="6"/>
  <c r="AR219" i="6"/>
  <c r="K220" i="12"/>
  <c r="AJ219" i="6"/>
  <c r="AH219" i="6"/>
  <c r="V214" i="12"/>
  <c r="U214" i="12"/>
  <c r="T214" i="12"/>
  <c r="AG219" i="6"/>
  <c r="AQ219" i="6"/>
  <c r="AU219" i="6"/>
  <c r="BD219" i="6"/>
  <c r="AS219" i="6"/>
  <c r="AN219" i="6"/>
  <c r="AK219" i="6"/>
  <c r="AZ219" i="6"/>
  <c r="W215" i="12"/>
  <c r="X215" i="12"/>
  <c r="A222" i="12"/>
  <c r="H222" i="5"/>
  <c r="B222" i="5"/>
  <c r="G222" i="5"/>
  <c r="J222" i="5"/>
  <c r="B222" i="6"/>
  <c r="K222" i="5"/>
  <c r="AE222" i="5"/>
  <c r="N222" i="5"/>
  <c r="AD222" i="5"/>
  <c r="F222" i="5"/>
  <c r="C223" i="5"/>
  <c r="R222" i="5"/>
  <c r="D222" i="5"/>
  <c r="B222" i="12" s="1"/>
  <c r="W222" i="5"/>
  <c r="H222" i="12" s="1"/>
  <c r="E222" i="5"/>
  <c r="L221" i="12"/>
  <c r="J221" i="12"/>
  <c r="G220" i="6"/>
  <c r="H220" i="6"/>
  <c r="T220" i="5" s="1"/>
  <c r="C217" i="6"/>
  <c r="O217" i="5"/>
  <c r="A220" i="6"/>
  <c r="I218" i="12"/>
  <c r="L218" i="5"/>
  <c r="AM218" i="5"/>
  <c r="Z218" i="5"/>
  <c r="AC218" i="5"/>
  <c r="BB219" i="6"/>
  <c r="AY219" i="6"/>
  <c r="AV219" i="6"/>
  <c r="AF219" i="6"/>
  <c r="AP219" i="6"/>
  <c r="AO219" i="6"/>
  <c r="AC219" i="6"/>
  <c r="G219" i="12"/>
  <c r="X219" i="5"/>
  <c r="AT219" i="6"/>
  <c r="BF219" i="6"/>
  <c r="AX219" i="6"/>
  <c r="BC219" i="6"/>
  <c r="BA219" i="6"/>
  <c r="AI219" i="6"/>
  <c r="E216" i="6"/>
  <c r="D216" i="12"/>
  <c r="N216" i="12"/>
  <c r="Y216" i="12"/>
  <c r="D221" i="6"/>
  <c r="F221" i="6"/>
  <c r="E221" i="12"/>
  <c r="AA217" i="5"/>
  <c r="AB217" i="5"/>
  <c r="C217" i="12"/>
  <c r="AO217" i="12"/>
  <c r="O217" i="12"/>
  <c r="M217" i="12"/>
  <c r="AF223" i="5"/>
  <c r="S223" i="5" l="1"/>
  <c r="F223" i="12" s="1"/>
  <c r="AG223" i="5"/>
  <c r="N217" i="12"/>
  <c r="H221" i="6"/>
  <c r="T221" i="5" s="1"/>
  <c r="G221" i="6"/>
  <c r="C218" i="6"/>
  <c r="O218" i="5"/>
  <c r="A221" i="6"/>
  <c r="M221" i="6" s="1"/>
  <c r="F222" i="6"/>
  <c r="E222" i="12"/>
  <c r="D222" i="6"/>
  <c r="L222" i="12"/>
  <c r="J222" i="12"/>
  <c r="V215" i="12"/>
  <c r="U215" i="12"/>
  <c r="T215" i="12"/>
  <c r="Y217" i="12"/>
  <c r="W216" i="12"/>
  <c r="X216" i="12"/>
  <c r="AM219" i="5"/>
  <c r="I219" i="12"/>
  <c r="L219" i="5"/>
  <c r="Z219" i="5"/>
  <c r="AC219" i="5"/>
  <c r="AA218" i="5"/>
  <c r="AB218" i="5"/>
  <c r="C218" i="12"/>
  <c r="O218" i="12"/>
  <c r="AO218" i="12"/>
  <c r="M218" i="12"/>
  <c r="E217" i="6"/>
  <c r="D217" i="12"/>
  <c r="M220" i="6"/>
  <c r="G220" i="12"/>
  <c r="X220" i="5"/>
  <c r="K221" i="12"/>
  <c r="F223" i="5"/>
  <c r="B223" i="6"/>
  <c r="K223" i="5"/>
  <c r="J223" i="5"/>
  <c r="AD223" i="5"/>
  <c r="W223" i="5"/>
  <c r="H223" i="12" s="1"/>
  <c r="B223" i="5"/>
  <c r="AE223" i="5"/>
  <c r="H223" i="5"/>
  <c r="D223" i="5"/>
  <c r="B223" i="12" s="1"/>
  <c r="N223" i="5"/>
  <c r="G223" i="5"/>
  <c r="E223" i="5"/>
  <c r="R223" i="5"/>
  <c r="C224" i="5"/>
  <c r="A223" i="12"/>
  <c r="AF224" i="5"/>
  <c r="AG224" i="5" l="1"/>
  <c r="S224" i="5"/>
  <c r="F224" i="12" s="1"/>
  <c r="AI221" i="6"/>
  <c r="AC221" i="6"/>
  <c r="AX221" i="6"/>
  <c r="AV221" i="6"/>
  <c r="AH221" i="6"/>
  <c r="AD221" i="6"/>
  <c r="BC221" i="6"/>
  <c r="AO221" i="6"/>
  <c r="AU221" i="6"/>
  <c r="AF221" i="6"/>
  <c r="AP221" i="6"/>
  <c r="BE221" i="6"/>
  <c r="BG221" i="6"/>
  <c r="AB221" i="6"/>
  <c r="AK221" i="6"/>
  <c r="AY221" i="6"/>
  <c r="BB221" i="6"/>
  <c r="AT221" i="6"/>
  <c r="AJ221" i="6"/>
  <c r="AE221" i="6"/>
  <c r="BD221" i="6"/>
  <c r="AG221" i="6"/>
  <c r="AS221" i="6"/>
  <c r="AN221" i="6"/>
  <c r="AM221" i="6"/>
  <c r="AZ221" i="6"/>
  <c r="BF221" i="6"/>
  <c r="AQ221" i="6"/>
  <c r="BA221" i="6"/>
  <c r="AR221" i="6"/>
  <c r="J223" i="12"/>
  <c r="L223" i="12"/>
  <c r="E223" i="12"/>
  <c r="F223" i="6"/>
  <c r="D223" i="6"/>
  <c r="N218" i="12"/>
  <c r="AB219" i="5"/>
  <c r="AA219" i="5"/>
  <c r="C219" i="12"/>
  <c r="M219" i="12"/>
  <c r="AO219" i="12"/>
  <c r="O219" i="12"/>
  <c r="W217" i="12"/>
  <c r="X217" i="12"/>
  <c r="K222" i="12"/>
  <c r="G222" i="6"/>
  <c r="H222" i="6"/>
  <c r="T222" i="5" s="1"/>
  <c r="E218" i="6"/>
  <c r="D218" i="12"/>
  <c r="A222" i="6"/>
  <c r="E224" i="5"/>
  <c r="F224" i="5"/>
  <c r="K224" i="5"/>
  <c r="W224" i="5"/>
  <c r="H224" i="12" s="1"/>
  <c r="R224" i="5"/>
  <c r="AD224" i="5"/>
  <c r="N224" i="5"/>
  <c r="H224" i="5"/>
  <c r="J224" i="5"/>
  <c r="G224" i="5"/>
  <c r="B224" i="5"/>
  <c r="B224" i="6"/>
  <c r="A224" i="12"/>
  <c r="D224" i="5"/>
  <c r="B224" i="12" s="1"/>
  <c r="AE224" i="5"/>
  <c r="C225" i="5"/>
  <c r="AM220" i="5"/>
  <c r="L220" i="5"/>
  <c r="I220" i="12"/>
  <c r="Z220" i="5"/>
  <c r="AC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/>
  <c r="X221" i="5"/>
  <c r="AF225" i="5"/>
  <c r="N219" i="12" l="1"/>
  <c r="AG225" i="5"/>
  <c r="S225" i="5"/>
  <c r="F225" i="12" s="1"/>
  <c r="M222" i="6"/>
  <c r="AC222" i="6" s="1"/>
  <c r="Y219" i="12"/>
  <c r="X219" i="12" s="1"/>
  <c r="A223" i="6"/>
  <c r="K223" i="12"/>
  <c r="E219" i="6"/>
  <c r="D219" i="12"/>
  <c r="X218" i="12"/>
  <c r="W218" i="12"/>
  <c r="AB220" i="5"/>
  <c r="AA220" i="5"/>
  <c r="C220" i="12"/>
  <c r="O220" i="12"/>
  <c r="M220" i="12"/>
  <c r="AO220" i="12"/>
  <c r="L224" i="12"/>
  <c r="J224" i="12"/>
  <c r="D224" i="6"/>
  <c r="F224" i="6"/>
  <c r="E224" i="12"/>
  <c r="U217" i="12"/>
  <c r="T217" i="12"/>
  <c r="V217" i="12"/>
  <c r="G223" i="6"/>
  <c r="H223" i="6"/>
  <c r="T223" i="5" s="1"/>
  <c r="L221" i="5"/>
  <c r="AM221" i="5"/>
  <c r="I221" i="12"/>
  <c r="Z221" i="5"/>
  <c r="AC221" i="5"/>
  <c r="C220" i="6"/>
  <c r="O220" i="5"/>
  <c r="K225" i="5"/>
  <c r="R225" i="5"/>
  <c r="H225" i="5"/>
  <c r="D225" i="5"/>
  <c r="B225" i="12" s="1"/>
  <c r="N225" i="5"/>
  <c r="E225" i="5"/>
  <c r="G225" i="5"/>
  <c r="B225" i="5"/>
  <c r="AD225" i="5"/>
  <c r="AE225" i="5"/>
  <c r="J225" i="5"/>
  <c r="C226" i="5"/>
  <c r="W225" i="5"/>
  <c r="H225" i="12" s="1"/>
  <c r="B225" i="6"/>
  <c r="F225" i="5"/>
  <c r="A225" i="12"/>
  <c r="G222" i="12"/>
  <c r="X222" i="5"/>
  <c r="AF226" i="5"/>
  <c r="BE222" i="6" l="1"/>
  <c r="Y220" i="12"/>
  <c r="W220" i="12" s="1"/>
  <c r="AQ222" i="6"/>
  <c r="AI222" i="6"/>
  <c r="AZ222" i="6"/>
  <c r="AO222" i="6"/>
  <c r="BB222" i="6"/>
  <c r="BD222" i="6"/>
  <c r="M223" i="6"/>
  <c r="AV223" i="6" s="1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S226" i="5"/>
  <c r="F226" i="12" s="1"/>
  <c r="AG226" i="5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AC222" i="5"/>
  <c r="AE226" i="5"/>
  <c r="G226" i="5"/>
  <c r="E226" i="5"/>
  <c r="AD226" i="5"/>
  <c r="W226" i="5"/>
  <c r="H226" i="12" s="1"/>
  <c r="F226" i="5"/>
  <c r="B226" i="5"/>
  <c r="D226" i="5"/>
  <c r="B226" i="12" s="1"/>
  <c r="R226" i="5"/>
  <c r="J226" i="5"/>
  <c r="C227" i="5"/>
  <c r="B226" i="6"/>
  <c r="H226" i="5"/>
  <c r="N226" i="5"/>
  <c r="A226" i="12"/>
  <c r="K226" i="5"/>
  <c r="F225" i="6"/>
  <c r="E225" i="12"/>
  <c r="E220" i="6"/>
  <c r="D220" i="12"/>
  <c r="AB221" i="5"/>
  <c r="AA221" i="5"/>
  <c r="H224" i="6"/>
  <c r="T224" i="5" s="1"/>
  <c r="G224" i="6"/>
  <c r="T218" i="12"/>
  <c r="V218" i="12"/>
  <c r="U218" i="12"/>
  <c r="A224" i="6"/>
  <c r="L225" i="12"/>
  <c r="J225" i="12"/>
  <c r="D225" i="6"/>
  <c r="C221" i="12"/>
  <c r="O221" i="12"/>
  <c r="AO221" i="12"/>
  <c r="M221" i="12"/>
  <c r="C221" i="6"/>
  <c r="O221" i="5"/>
  <c r="G223" i="12"/>
  <c r="X223" i="5"/>
  <c r="K224" i="12"/>
  <c r="AF227" i="5"/>
  <c r="X220" i="12" l="1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AG227" i="5"/>
  <c r="S227" i="5"/>
  <c r="F227" i="12" s="1"/>
  <c r="Y221" i="12"/>
  <c r="W221" i="12" s="1"/>
  <c r="M224" i="6"/>
  <c r="AM224" i="6" s="1"/>
  <c r="AM223" i="5"/>
  <c r="L223" i="5"/>
  <c r="I223" i="12"/>
  <c r="Z223" i="5"/>
  <c r="AC223" i="5"/>
  <c r="K225" i="12"/>
  <c r="U220" i="12"/>
  <c r="T220" i="12"/>
  <c r="V220" i="12"/>
  <c r="D226" i="6"/>
  <c r="E227" i="5"/>
  <c r="F227" i="5"/>
  <c r="B227" i="5"/>
  <c r="H227" i="5"/>
  <c r="J227" i="5"/>
  <c r="R227" i="5"/>
  <c r="D227" i="5"/>
  <c r="B227" i="12" s="1"/>
  <c r="K227" i="5"/>
  <c r="G227" i="5"/>
  <c r="AE227" i="5"/>
  <c r="N227" i="5"/>
  <c r="W227" i="5"/>
  <c r="H227" i="12" s="1"/>
  <c r="B227" i="6"/>
  <c r="A227" i="12"/>
  <c r="C228" i="5"/>
  <c r="AD227" i="5"/>
  <c r="F226" i="6"/>
  <c r="E226" i="12"/>
  <c r="C222" i="12"/>
  <c r="O222" i="12"/>
  <c r="AO222" i="12"/>
  <c r="M222" i="12"/>
  <c r="E221" i="6"/>
  <c r="D221" i="12"/>
  <c r="N221" i="12"/>
  <c r="H225" i="6"/>
  <c r="T225" i="5" s="1"/>
  <c r="G225" i="6"/>
  <c r="A225" i="6"/>
  <c r="M225" i="6" s="1"/>
  <c r="G224" i="12"/>
  <c r="X224" i="5"/>
  <c r="L226" i="12"/>
  <c r="J226" i="12"/>
  <c r="AB222" i="5"/>
  <c r="AA222" i="5"/>
  <c r="C222" i="6"/>
  <c r="O222" i="5"/>
  <c r="AF228" i="5"/>
  <c r="X221" i="12" l="1"/>
  <c r="AK224" i="6"/>
  <c r="AD224" i="6"/>
  <c r="AJ224" i="6"/>
  <c r="BG224" i="6"/>
  <c r="BC224" i="6"/>
  <c r="AX224" i="6"/>
  <c r="AO224" i="6"/>
  <c r="AG228" i="5"/>
  <c r="S228" i="5"/>
  <c r="F228" i="12" s="1"/>
  <c r="AV224" i="6"/>
  <c r="BF224" i="6"/>
  <c r="AU224" i="6"/>
  <c r="AC224" i="6"/>
  <c r="AP224" i="6"/>
  <c r="AG224" i="6"/>
  <c r="BA225" i="6"/>
  <c r="AI225" i="6"/>
  <c r="A226" i="6"/>
  <c r="M226" i="6" s="1"/>
  <c r="AQ225" i="6"/>
  <c r="AU225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K226" i="12"/>
  <c r="AS225" i="6"/>
  <c r="AE225" i="6"/>
  <c r="BB225" i="6"/>
  <c r="AO225" i="6"/>
  <c r="AB225" i="6"/>
  <c r="AX225" i="6"/>
  <c r="AR225" i="6"/>
  <c r="BD225" i="6"/>
  <c r="BG225" i="6"/>
  <c r="AV225" i="6"/>
  <c r="AY225" i="6"/>
  <c r="AD225" i="6"/>
  <c r="X222" i="12"/>
  <c r="J227" i="12"/>
  <c r="L227" i="12"/>
  <c r="V221" i="12"/>
  <c r="T221" i="12"/>
  <c r="U221" i="12"/>
  <c r="C223" i="6"/>
  <c r="O223" i="5"/>
  <c r="I224" i="12"/>
  <c r="L224" i="5"/>
  <c r="AM224" i="5"/>
  <c r="Z224" i="5"/>
  <c r="AC224" i="5"/>
  <c r="AJ225" i="6"/>
  <c r="BF225" i="6"/>
  <c r="AT225" i="6"/>
  <c r="AM225" i="6"/>
  <c r="AG225" i="6"/>
  <c r="AN225" i="6"/>
  <c r="AP225" i="6"/>
  <c r="AZ225" i="6"/>
  <c r="AF225" i="6"/>
  <c r="AH225" i="6"/>
  <c r="AC225" i="6"/>
  <c r="AK225" i="6"/>
  <c r="BE225" i="6"/>
  <c r="BC225" i="6"/>
  <c r="G225" i="12"/>
  <c r="X225" i="5"/>
  <c r="N222" i="12"/>
  <c r="K228" i="5"/>
  <c r="B228" i="6"/>
  <c r="H228" i="5"/>
  <c r="AD228" i="5"/>
  <c r="B228" i="5"/>
  <c r="A228" i="12"/>
  <c r="G228" i="5"/>
  <c r="J228" i="5"/>
  <c r="N228" i="5"/>
  <c r="E228" i="5"/>
  <c r="AE228" i="5"/>
  <c r="W228" i="5"/>
  <c r="H228" i="12" s="1"/>
  <c r="C229" i="5"/>
  <c r="F228" i="5"/>
  <c r="D228" i="5"/>
  <c r="B228" i="12" s="1"/>
  <c r="R228" i="5"/>
  <c r="D227" i="6"/>
  <c r="E227" i="12"/>
  <c r="F227" i="6"/>
  <c r="H226" i="6"/>
  <c r="T226" i="5" s="1"/>
  <c r="G226" i="6"/>
  <c r="AA223" i="5"/>
  <c r="AB223" i="5"/>
  <c r="C223" i="12"/>
  <c r="O223" i="12"/>
  <c r="AO223" i="12"/>
  <c r="M223" i="12"/>
  <c r="AF229" i="5"/>
  <c r="S229" i="5" l="1"/>
  <c r="F229" i="12" s="1"/>
  <c r="AG229" i="5"/>
  <c r="BF226" i="6"/>
  <c r="BD226" i="6"/>
  <c r="AM226" i="6"/>
  <c r="AO226" i="6"/>
  <c r="AS226" i="6"/>
  <c r="AP226" i="6"/>
  <c r="AV226" i="6"/>
  <c r="AU226" i="6"/>
  <c r="AX226" i="6"/>
  <c r="BE226" i="6"/>
  <c r="AE226" i="6"/>
  <c r="BB226" i="6"/>
  <c r="Y223" i="12"/>
  <c r="W223" i="12" s="1"/>
  <c r="AC226" i="6"/>
  <c r="AJ226" i="6"/>
  <c r="AD226" i="6"/>
  <c r="AK226" i="6"/>
  <c r="G227" i="6"/>
  <c r="H227" i="6"/>
  <c r="T227" i="5" s="1"/>
  <c r="B229" i="5"/>
  <c r="F229" i="5"/>
  <c r="A229" i="12"/>
  <c r="D229" i="5"/>
  <c r="B229" i="12" s="1"/>
  <c r="J229" i="5"/>
  <c r="E229" i="5"/>
  <c r="AD229" i="5"/>
  <c r="R229" i="5"/>
  <c r="B229" i="6"/>
  <c r="K229" i="5"/>
  <c r="G229" i="5"/>
  <c r="AE229" i="5"/>
  <c r="W229" i="5"/>
  <c r="H229" i="12" s="1"/>
  <c r="C230" i="5"/>
  <c r="N229" i="5"/>
  <c r="H229" i="5"/>
  <c r="J228" i="12"/>
  <c r="L228" i="12"/>
  <c r="C224" i="12"/>
  <c r="O224" i="12"/>
  <c r="M224" i="12"/>
  <c r="AO224" i="12"/>
  <c r="N223" i="12"/>
  <c r="AF226" i="6"/>
  <c r="AZ226" i="6"/>
  <c r="BG226" i="6"/>
  <c r="AY226" i="6"/>
  <c r="AG226" i="6"/>
  <c r="AT226" i="6"/>
  <c r="BC226" i="6"/>
  <c r="AQ226" i="6"/>
  <c r="AH226" i="6"/>
  <c r="AI226" i="6"/>
  <c r="BA226" i="6"/>
  <c r="AB226" i="6"/>
  <c r="AN226" i="6"/>
  <c r="AR226" i="6"/>
  <c r="G226" i="12"/>
  <c r="X226" i="5"/>
  <c r="A227" i="6"/>
  <c r="F228" i="6"/>
  <c r="E228" i="12"/>
  <c r="D228" i="6"/>
  <c r="I225" i="12"/>
  <c r="AM225" i="5"/>
  <c r="L225" i="5"/>
  <c r="Z225" i="5"/>
  <c r="AC225" i="5"/>
  <c r="AA224" i="5"/>
  <c r="AB224" i="5"/>
  <c r="C224" i="6"/>
  <c r="O224" i="5"/>
  <c r="E223" i="6"/>
  <c r="D223" i="12"/>
  <c r="K227" i="12"/>
  <c r="U222" i="12"/>
  <c r="T222" i="12"/>
  <c r="V222" i="12"/>
  <c r="AF230" i="5"/>
  <c r="Y224" i="12" l="1"/>
  <c r="X224" i="12" s="1"/>
  <c r="X223" i="12"/>
  <c r="AG230" i="5"/>
  <c r="S230" i="5"/>
  <c r="F230" i="12" s="1"/>
  <c r="N224" i="12"/>
  <c r="K228" i="12"/>
  <c r="D224" i="12"/>
  <c r="E224" i="6"/>
  <c r="AB225" i="5"/>
  <c r="AA225" i="5"/>
  <c r="A228" i="6"/>
  <c r="M228" i="6" s="1"/>
  <c r="BF228" i="6" s="1"/>
  <c r="AD230" i="5"/>
  <c r="F230" i="5"/>
  <c r="B230" i="6"/>
  <c r="AE230" i="5"/>
  <c r="E230" i="5"/>
  <c r="A230" i="12"/>
  <c r="C231" i="5"/>
  <c r="W230" i="5"/>
  <c r="H230" i="12" s="1"/>
  <c r="J230" i="5"/>
  <c r="G230" i="5"/>
  <c r="K230" i="5"/>
  <c r="D230" i="5"/>
  <c r="B230" i="12" s="1"/>
  <c r="B230" i="5"/>
  <c r="N230" i="5"/>
  <c r="R230" i="5"/>
  <c r="H230" i="5"/>
  <c r="F229" i="6"/>
  <c r="E229" i="12"/>
  <c r="M227" i="6"/>
  <c r="AK227" i="6" s="1"/>
  <c r="G227" i="12"/>
  <c r="X227" i="5"/>
  <c r="U223" i="12"/>
  <c r="V223" i="12"/>
  <c r="T223" i="12"/>
  <c r="C225" i="6"/>
  <c r="O225" i="5"/>
  <c r="C225" i="12"/>
  <c r="M225" i="12"/>
  <c r="O225" i="12"/>
  <c r="AO225" i="12"/>
  <c r="G228" i="6"/>
  <c r="H228" i="6"/>
  <c r="T228" i="5" s="1"/>
  <c r="I226" i="12"/>
  <c r="AM226" i="5"/>
  <c r="L226" i="5"/>
  <c r="Z226" i="5"/>
  <c r="AC226" i="5"/>
  <c r="D229" i="6"/>
  <c r="L229" i="12"/>
  <c r="J229" i="12"/>
  <c r="AF231" i="5"/>
  <c r="W224" i="12" l="1"/>
  <c r="T224" i="12" s="1"/>
  <c r="A229" i="6"/>
  <c r="M229" i="6" s="1"/>
  <c r="AJ227" i="6"/>
  <c r="BC228" i="6"/>
  <c r="K229" i="12"/>
  <c r="AQ228" i="6"/>
  <c r="AG231" i="5"/>
  <c r="S231" i="5"/>
  <c r="F231" i="12" s="1"/>
  <c r="AO228" i="6"/>
  <c r="AI228" i="6"/>
  <c r="BG228" i="6"/>
  <c r="Y225" i="12"/>
  <c r="W225" i="12" s="1"/>
  <c r="AG227" i="6"/>
  <c r="AB226" i="5"/>
  <c r="AA226" i="5"/>
  <c r="AH228" i="6"/>
  <c r="AY228" i="6"/>
  <c r="BB228" i="6"/>
  <c r="AB228" i="6"/>
  <c r="AF228" i="6"/>
  <c r="AU228" i="6"/>
  <c r="AM228" i="6"/>
  <c r="AK228" i="6"/>
  <c r="AJ228" i="6"/>
  <c r="BD228" i="6"/>
  <c r="E225" i="6"/>
  <c r="D225" i="12"/>
  <c r="AM227" i="5"/>
  <c r="I227" i="12"/>
  <c r="L227" i="5"/>
  <c r="Z227" i="5"/>
  <c r="AC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E230" i="12"/>
  <c r="F230" i="6"/>
  <c r="E231" i="5"/>
  <c r="G231" i="5"/>
  <c r="D231" i="5"/>
  <c r="B231" i="12" s="1"/>
  <c r="A231" i="12"/>
  <c r="J231" i="5"/>
  <c r="C232" i="5"/>
  <c r="K231" i="5"/>
  <c r="F231" i="5"/>
  <c r="N231" i="5"/>
  <c r="AE231" i="5"/>
  <c r="B231" i="6"/>
  <c r="W231" i="5"/>
  <c r="H231" i="12" s="1"/>
  <c r="R231" i="5"/>
  <c r="AD231" i="5"/>
  <c r="H231" i="5"/>
  <c r="B231" i="5"/>
  <c r="AD227" i="6"/>
  <c r="AH227" i="6"/>
  <c r="H229" i="6"/>
  <c r="T229" i="5" s="1"/>
  <c r="G229" i="6"/>
  <c r="C226" i="6"/>
  <c r="O226" i="5"/>
  <c r="C226" i="12"/>
  <c r="O226" i="12"/>
  <c r="AO226" i="12"/>
  <c r="M226" i="12"/>
  <c r="AC228" i="6"/>
  <c r="AS228" i="6"/>
  <c r="BE228" i="6"/>
  <c r="AR228" i="6"/>
  <c r="G228" i="12"/>
  <c r="X228" i="5"/>
  <c r="AD228" i="6"/>
  <c r="BA228" i="6"/>
  <c r="AT228" i="6"/>
  <c r="AV228" i="6"/>
  <c r="AG228" i="6"/>
  <c r="AE228" i="6"/>
  <c r="AN228" i="6"/>
  <c r="AX228" i="6"/>
  <c r="AP228" i="6"/>
  <c r="AZ228" i="6"/>
  <c r="N225" i="12"/>
  <c r="AB227" i="6"/>
  <c r="AC227" i="6"/>
  <c r="D230" i="6"/>
  <c r="L230" i="12"/>
  <c r="J230" i="12"/>
  <c r="AF232" i="5"/>
  <c r="V224" i="12" l="1"/>
  <c r="U224" i="12"/>
  <c r="A230" i="6"/>
  <c r="M230" i="6" s="1"/>
  <c r="AR230" i="6" s="1"/>
  <c r="X225" i="12"/>
  <c r="AC229" i="6"/>
  <c r="AK229" i="6"/>
  <c r="AH229" i="6"/>
  <c r="AJ229" i="6"/>
  <c r="AG232" i="5"/>
  <c r="S232" i="5"/>
  <c r="F232" i="12" s="1"/>
  <c r="BC229" i="6"/>
  <c r="AV229" i="6"/>
  <c r="AY229" i="6"/>
  <c r="AX229" i="6"/>
  <c r="AG229" i="6"/>
  <c r="Y226" i="12"/>
  <c r="W226" i="12" s="1"/>
  <c r="AR229" i="6"/>
  <c r="AZ229" i="6"/>
  <c r="AE229" i="6"/>
  <c r="AI229" i="6"/>
  <c r="AD229" i="6"/>
  <c r="AS229" i="6"/>
  <c r="BG229" i="6"/>
  <c r="AA227" i="5"/>
  <c r="AB227" i="5"/>
  <c r="C227" i="12"/>
  <c r="AO227" i="12"/>
  <c r="M227" i="12"/>
  <c r="O227" i="12"/>
  <c r="V225" i="12"/>
  <c r="U225" i="12"/>
  <c r="T225" i="12"/>
  <c r="K230" i="12"/>
  <c r="H230" i="6"/>
  <c r="T230" i="5" s="1"/>
  <c r="G230" i="6"/>
  <c r="L228" i="5"/>
  <c r="I228" i="12"/>
  <c r="AM228" i="5"/>
  <c r="Z228" i="5"/>
  <c r="AC228" i="5"/>
  <c r="N226" i="12"/>
  <c r="D226" i="12"/>
  <c r="E226" i="6"/>
  <c r="AO229" i="6"/>
  <c r="AT229" i="6"/>
  <c r="AP229" i="6"/>
  <c r="AQ229" i="6"/>
  <c r="BF229" i="6"/>
  <c r="AB229" i="6"/>
  <c r="BD229" i="6"/>
  <c r="AN229" i="6"/>
  <c r="AF229" i="6"/>
  <c r="AU229" i="6"/>
  <c r="BB229" i="6"/>
  <c r="BA229" i="6"/>
  <c r="BE229" i="6"/>
  <c r="AM229" i="6"/>
  <c r="G229" i="12"/>
  <c r="X229" i="5"/>
  <c r="F231" i="6"/>
  <c r="E231" i="12"/>
  <c r="D231" i="6"/>
  <c r="R232" i="5"/>
  <c r="AE232" i="5"/>
  <c r="B232" i="6"/>
  <c r="F232" i="5"/>
  <c r="E232" i="5"/>
  <c r="G232" i="5"/>
  <c r="D232" i="5"/>
  <c r="B232" i="12" s="1"/>
  <c r="W232" i="5"/>
  <c r="H232" i="12" s="1"/>
  <c r="A232" i="12"/>
  <c r="K232" i="5"/>
  <c r="B232" i="5"/>
  <c r="AD232" i="5"/>
  <c r="H232" i="5"/>
  <c r="N232" i="5"/>
  <c r="J232" i="5"/>
  <c r="C233" i="5"/>
  <c r="L231" i="12"/>
  <c r="J231" i="12"/>
  <c r="C227" i="6"/>
  <c r="O227" i="5"/>
  <c r="AF233" i="5"/>
  <c r="A231" i="6" l="1"/>
  <c r="M231" i="6" s="1"/>
  <c r="AQ231" i="6" s="1"/>
  <c r="X226" i="12"/>
  <c r="AO230" i="6"/>
  <c r="AM230" i="6"/>
  <c r="AS230" i="6"/>
  <c r="BB230" i="6"/>
  <c r="AU230" i="6"/>
  <c r="BD230" i="6"/>
  <c r="BE230" i="6"/>
  <c r="BF230" i="6"/>
  <c r="AG233" i="5"/>
  <c r="S233" i="5"/>
  <c r="F233" i="12" s="1"/>
  <c r="AF230" i="6"/>
  <c r="AX230" i="6"/>
  <c r="AY230" i="6"/>
  <c r="AT230" i="6"/>
  <c r="AC230" i="6"/>
  <c r="BC230" i="6"/>
  <c r="BA230" i="6"/>
  <c r="BG230" i="6"/>
  <c r="AQ230" i="6"/>
  <c r="AN230" i="6"/>
  <c r="AP230" i="6"/>
  <c r="AV230" i="6"/>
  <c r="AZ230" i="6"/>
  <c r="N227" i="12"/>
  <c r="F233" i="5"/>
  <c r="H233" i="5"/>
  <c r="N233" i="5"/>
  <c r="A233" i="12"/>
  <c r="AE233" i="5"/>
  <c r="E233" i="5"/>
  <c r="C234" i="5"/>
  <c r="B233" i="5"/>
  <c r="K233" i="5"/>
  <c r="G233" i="5"/>
  <c r="AD233" i="5"/>
  <c r="J233" i="5"/>
  <c r="R233" i="5"/>
  <c r="B233" i="6"/>
  <c r="W233" i="5"/>
  <c r="H233" i="12" s="1"/>
  <c r="D233" i="5"/>
  <c r="B233" i="12" s="1"/>
  <c r="D232" i="6"/>
  <c r="AB228" i="5"/>
  <c r="AA228" i="5"/>
  <c r="C228" i="12"/>
  <c r="O228" i="12"/>
  <c r="M228" i="12"/>
  <c r="AO228" i="12"/>
  <c r="G230" i="12"/>
  <c r="X230" i="5"/>
  <c r="AH230" i="6"/>
  <c r="AD230" i="6"/>
  <c r="AI230" i="6"/>
  <c r="Y227" i="12"/>
  <c r="V226" i="12"/>
  <c r="U226" i="12"/>
  <c r="T226" i="12"/>
  <c r="D227" i="12"/>
  <c r="E227" i="6"/>
  <c r="K231" i="12"/>
  <c r="J232" i="12"/>
  <c r="L232" i="12"/>
  <c r="F232" i="6"/>
  <c r="E232" i="12"/>
  <c r="G231" i="6"/>
  <c r="H231" i="6"/>
  <c r="T231" i="5" s="1"/>
  <c r="I229" i="12"/>
  <c r="AM229" i="5"/>
  <c r="L229" i="5"/>
  <c r="Z229" i="5"/>
  <c r="AC229" i="5"/>
  <c r="C228" i="6"/>
  <c r="O228" i="5"/>
  <c r="AB230" i="6"/>
  <c r="AE230" i="6"/>
  <c r="AG230" i="6"/>
  <c r="AK230" i="6"/>
  <c r="AJ230" i="6"/>
  <c r="AF234" i="5"/>
  <c r="A232" i="6" l="1"/>
  <c r="M232" i="6" s="1"/>
  <c r="AM232" i="6" s="1"/>
  <c r="Y228" i="12"/>
  <c r="W228" i="12" s="1"/>
  <c r="AR231" i="6"/>
  <c r="BE231" i="6"/>
  <c r="BD231" i="6"/>
  <c r="BA231" i="6"/>
  <c r="AS231" i="6"/>
  <c r="AG234" i="5"/>
  <c r="S234" i="5"/>
  <c r="F234" i="12" s="1"/>
  <c r="K232" i="12"/>
  <c r="N228" i="12"/>
  <c r="AY231" i="6"/>
  <c r="AP231" i="6"/>
  <c r="AH231" i="6"/>
  <c r="AN231" i="6"/>
  <c r="AM231" i="6"/>
  <c r="AI231" i="6"/>
  <c r="BC231" i="6"/>
  <c r="AK231" i="6"/>
  <c r="AX231" i="6"/>
  <c r="AJ231" i="6"/>
  <c r="AF231" i="6"/>
  <c r="AU231" i="6"/>
  <c r="AG231" i="6"/>
  <c r="AZ231" i="6"/>
  <c r="E228" i="6"/>
  <c r="D228" i="12"/>
  <c r="AB229" i="5"/>
  <c r="AA229" i="5"/>
  <c r="X227" i="12"/>
  <c r="W227" i="12"/>
  <c r="L230" i="5"/>
  <c r="AM230" i="5"/>
  <c r="I230" i="12"/>
  <c r="Z230" i="5"/>
  <c r="AC230" i="5"/>
  <c r="L233" i="12"/>
  <c r="J233" i="12"/>
  <c r="C229" i="6"/>
  <c r="O229" i="5"/>
  <c r="C229" i="12"/>
  <c r="O229" i="12"/>
  <c r="M229" i="12"/>
  <c r="AO229" i="12"/>
  <c r="G231" i="12"/>
  <c r="X231" i="5"/>
  <c r="AD231" i="6"/>
  <c r="AB231" i="6"/>
  <c r="AC231" i="6"/>
  <c r="BB231" i="6"/>
  <c r="AV231" i="6"/>
  <c r="AO231" i="6"/>
  <c r="AE231" i="6"/>
  <c r="BG231" i="6"/>
  <c r="BF231" i="6"/>
  <c r="AT231" i="6"/>
  <c r="G232" i="6"/>
  <c r="H232" i="6"/>
  <c r="T232" i="5" s="1"/>
  <c r="E233" i="12"/>
  <c r="F233" i="6"/>
  <c r="R234" i="5"/>
  <c r="W234" i="5"/>
  <c r="H234" i="12" s="1"/>
  <c r="B234" i="5"/>
  <c r="K234" i="5"/>
  <c r="G234" i="5"/>
  <c r="N234" i="5"/>
  <c r="C235" i="5"/>
  <c r="AE234" i="5"/>
  <c r="E234" i="5"/>
  <c r="F234" i="5"/>
  <c r="H234" i="5"/>
  <c r="B234" i="6"/>
  <c r="A234" i="12"/>
  <c r="D234" i="5"/>
  <c r="B234" i="12" s="1"/>
  <c r="J234" i="5"/>
  <c r="AD234" i="5"/>
  <c r="D233" i="6"/>
  <c r="AF235" i="5"/>
  <c r="Y229" i="12" l="1"/>
  <c r="W229" i="12" s="1"/>
  <c r="X228" i="12"/>
  <c r="BF232" i="6"/>
  <c r="AY232" i="6"/>
  <c r="AO232" i="6"/>
  <c r="BG232" i="6"/>
  <c r="BE232" i="6"/>
  <c r="AZ232" i="6"/>
  <c r="AV232" i="6"/>
  <c r="AR232" i="6"/>
  <c r="AU232" i="6"/>
  <c r="BA232" i="6"/>
  <c r="BC232" i="6"/>
  <c r="AP232" i="6"/>
  <c r="S235" i="5"/>
  <c r="F235" i="12" s="1"/>
  <c r="AG235" i="5"/>
  <c r="AB232" i="6"/>
  <c r="AX232" i="6"/>
  <c r="AQ232" i="6"/>
  <c r="AN232" i="6"/>
  <c r="AS232" i="6"/>
  <c r="BB232" i="6"/>
  <c r="BD232" i="6"/>
  <c r="AT232" i="6"/>
  <c r="N229" i="12"/>
  <c r="AG232" i="6"/>
  <c r="AC232" i="6"/>
  <c r="AE232" i="6"/>
  <c r="AH232" i="6"/>
  <c r="K233" i="12"/>
  <c r="L234" i="12"/>
  <c r="J234" i="12"/>
  <c r="D234" i="6"/>
  <c r="L231" i="5"/>
  <c r="I231" i="12"/>
  <c r="AM231" i="5"/>
  <c r="Z231" i="5"/>
  <c r="AC231" i="5"/>
  <c r="D229" i="12"/>
  <c r="E229" i="6"/>
  <c r="T228" i="12"/>
  <c r="U228" i="12"/>
  <c r="V228" i="12"/>
  <c r="AB230" i="5"/>
  <c r="AA230" i="5"/>
  <c r="T227" i="12"/>
  <c r="V227" i="12"/>
  <c r="U227" i="12"/>
  <c r="G233" i="6"/>
  <c r="H233" i="6"/>
  <c r="T233" i="5" s="1"/>
  <c r="N235" i="5"/>
  <c r="H235" i="5"/>
  <c r="R235" i="5"/>
  <c r="A235" i="12"/>
  <c r="D235" i="5"/>
  <c r="B235" i="12" s="1"/>
  <c r="E235" i="5"/>
  <c r="W235" i="5"/>
  <c r="H235" i="12" s="1"/>
  <c r="B235" i="5"/>
  <c r="AD235" i="5"/>
  <c r="B235" i="6"/>
  <c r="J235" i="5"/>
  <c r="G235" i="5"/>
  <c r="F235" i="5"/>
  <c r="K235" i="5"/>
  <c r="C236" i="5"/>
  <c r="AE235" i="5"/>
  <c r="E234" i="12"/>
  <c r="F234" i="6"/>
  <c r="G232" i="12"/>
  <c r="X232" i="5"/>
  <c r="AD232" i="6"/>
  <c r="AF232" i="6"/>
  <c r="AI232" i="6"/>
  <c r="AK232" i="6"/>
  <c r="AJ232" i="6"/>
  <c r="A233" i="6"/>
  <c r="C230" i="12"/>
  <c r="O230" i="12"/>
  <c r="M230" i="12"/>
  <c r="AO230" i="12"/>
  <c r="C230" i="6"/>
  <c r="O230" i="5"/>
  <c r="AF236" i="5"/>
  <c r="X229" i="12" l="1"/>
  <c r="Y230" i="12"/>
  <c r="W230" i="12" s="1"/>
  <c r="S236" i="5"/>
  <c r="F236" i="12" s="1"/>
  <c r="AG236" i="5"/>
  <c r="N230" i="12"/>
  <c r="E230" i="6"/>
  <c r="D230" i="12"/>
  <c r="AM232" i="5"/>
  <c r="L232" i="5"/>
  <c r="I232" i="12"/>
  <c r="Z232" i="5"/>
  <c r="AC232" i="5"/>
  <c r="AD236" i="5"/>
  <c r="E236" i="5"/>
  <c r="B236" i="5"/>
  <c r="A236" i="12"/>
  <c r="J236" i="5"/>
  <c r="C237" i="5"/>
  <c r="R236" i="5"/>
  <c r="G236" i="5"/>
  <c r="F236" i="5"/>
  <c r="B236" i="6"/>
  <c r="W236" i="5"/>
  <c r="H236" i="12" s="1"/>
  <c r="D236" i="5"/>
  <c r="B236" i="12" s="1"/>
  <c r="H236" i="5"/>
  <c r="N236" i="5"/>
  <c r="K236" i="5"/>
  <c r="AE236" i="5"/>
  <c r="L235" i="12"/>
  <c r="J235" i="12"/>
  <c r="A234" i="6"/>
  <c r="M233" i="6"/>
  <c r="AH233" i="6" s="1"/>
  <c r="C231" i="6"/>
  <c r="O231" i="5"/>
  <c r="F235" i="6"/>
  <c r="E235" i="12"/>
  <c r="D235" i="6"/>
  <c r="G233" i="12"/>
  <c r="X233" i="5"/>
  <c r="U229" i="12"/>
  <c r="V229" i="12"/>
  <c r="T229" i="12"/>
  <c r="AA231" i="5"/>
  <c r="AB231" i="5"/>
  <c r="C231" i="12"/>
  <c r="M231" i="12"/>
  <c r="AO231" i="12"/>
  <c r="O231" i="12"/>
  <c r="G234" i="6"/>
  <c r="H234" i="6"/>
  <c r="T234" i="5" s="1"/>
  <c r="K234" i="12"/>
  <c r="AF237" i="5"/>
  <c r="X230" i="12" l="1"/>
  <c r="N231" i="12"/>
  <c r="M234" i="6"/>
  <c r="AY234" i="6" s="1"/>
  <c r="S237" i="5"/>
  <c r="F237" i="12" s="1"/>
  <c r="AG237" i="5"/>
  <c r="A235" i="6"/>
  <c r="G234" i="12"/>
  <c r="X234" i="5"/>
  <c r="I233" i="12"/>
  <c r="AM233" i="5"/>
  <c r="L233" i="5"/>
  <c r="Z233" i="5"/>
  <c r="AC233" i="5"/>
  <c r="H235" i="6"/>
  <c r="T235" i="5" s="1"/>
  <c r="G235" i="6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K235" i="12"/>
  <c r="C238" i="5"/>
  <c r="AE237" i="5"/>
  <c r="E237" i="5"/>
  <c r="B237" i="5"/>
  <c r="R237" i="5"/>
  <c r="A237" i="12"/>
  <c r="G237" i="5"/>
  <c r="AD237" i="5"/>
  <c r="H237" i="5"/>
  <c r="D237" i="5"/>
  <c r="B237" i="12" s="1"/>
  <c r="J237" i="5"/>
  <c r="W237" i="5"/>
  <c r="H237" i="12" s="1"/>
  <c r="F237" i="5"/>
  <c r="B237" i="6"/>
  <c r="N237" i="5"/>
  <c r="K237" i="5"/>
  <c r="L236" i="12"/>
  <c r="J236" i="12"/>
  <c r="AA232" i="5"/>
  <c r="AB232" i="5"/>
  <c r="C232" i="6"/>
  <c r="O232" i="5"/>
  <c r="U230" i="12"/>
  <c r="V230" i="12"/>
  <c r="T230" i="12"/>
  <c r="Y231" i="12"/>
  <c r="AK233" i="6"/>
  <c r="AG233" i="6"/>
  <c r="D236" i="6"/>
  <c r="F236" i="6"/>
  <c r="E236" i="12"/>
  <c r="C232" i="12"/>
  <c r="O232" i="12"/>
  <c r="AO232" i="12"/>
  <c r="M232" i="12"/>
  <c r="AF238" i="5"/>
  <c r="AB234" i="6" l="1"/>
  <c r="AH234" i="6"/>
  <c r="AE234" i="6"/>
  <c r="AF234" i="6"/>
  <c r="AN234" i="6"/>
  <c r="AS234" i="6"/>
  <c r="AM234" i="6"/>
  <c r="AI234" i="6"/>
  <c r="AO234" i="6"/>
  <c r="BA234" i="6"/>
  <c r="AD234" i="6"/>
  <c r="AP234" i="6"/>
  <c r="AG234" i="6"/>
  <c r="AK234" i="6"/>
  <c r="AJ234" i="6"/>
  <c r="BG234" i="6"/>
  <c r="M235" i="6"/>
  <c r="AX235" i="6" s="1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AG238" i="5"/>
  <c r="S238" i="5"/>
  <c r="F238" i="12" s="1"/>
  <c r="K236" i="12"/>
  <c r="N232" i="12"/>
  <c r="X231" i="12"/>
  <c r="W231" i="12"/>
  <c r="E232" i="6"/>
  <c r="D232" i="12"/>
  <c r="F237" i="6"/>
  <c r="E237" i="12"/>
  <c r="B238" i="6"/>
  <c r="N238" i="5"/>
  <c r="C239" i="5"/>
  <c r="A238" i="12"/>
  <c r="K238" i="5"/>
  <c r="R238" i="5"/>
  <c r="AD238" i="5"/>
  <c r="D238" i="5"/>
  <c r="B238" i="12" s="1"/>
  <c r="W238" i="5"/>
  <c r="H238" i="12" s="1"/>
  <c r="B238" i="5"/>
  <c r="H238" i="5"/>
  <c r="J238" i="5"/>
  <c r="F238" i="5"/>
  <c r="E238" i="5"/>
  <c r="G238" i="5"/>
  <c r="AE238" i="5"/>
  <c r="G235" i="12"/>
  <c r="X235" i="5"/>
  <c r="AA233" i="5"/>
  <c r="AB233" i="5"/>
  <c r="I234" i="12"/>
  <c r="L234" i="5"/>
  <c r="AM234" i="5"/>
  <c r="Z234" i="5"/>
  <c r="AC234" i="5"/>
  <c r="Y232" i="12"/>
  <c r="G236" i="6"/>
  <c r="H236" i="6"/>
  <c r="T236" i="5" s="1"/>
  <c r="D237" i="6"/>
  <c r="J237" i="12"/>
  <c r="L237" i="12"/>
  <c r="A236" i="6"/>
  <c r="C233" i="6"/>
  <c r="O233" i="5"/>
  <c r="C233" i="12"/>
  <c r="AO233" i="12"/>
  <c r="M233" i="12"/>
  <c r="O233" i="12"/>
  <c r="AF239" i="5"/>
  <c r="AJ235" i="6" l="1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S239" i="5"/>
  <c r="F239" i="12" s="1"/>
  <c r="AG239" i="5"/>
  <c r="K237" i="12"/>
  <c r="M236" i="6"/>
  <c r="AB236" i="6" s="1"/>
  <c r="G237" i="6"/>
  <c r="H237" i="6"/>
  <c r="T237" i="5" s="1"/>
  <c r="AB234" i="5"/>
  <c r="AA234" i="5"/>
  <c r="C234" i="6"/>
  <c r="O234" i="5"/>
  <c r="L235" i="5"/>
  <c r="AM235" i="5"/>
  <c r="I235" i="12"/>
  <c r="Z235" i="5"/>
  <c r="AC235" i="5"/>
  <c r="E238" i="12"/>
  <c r="F238" i="6"/>
  <c r="J238" i="12"/>
  <c r="L238" i="12"/>
  <c r="D238" i="6"/>
  <c r="A237" i="6"/>
  <c r="M237" i="6" s="1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C240" i="5"/>
  <c r="B239" i="5"/>
  <c r="AD239" i="5"/>
  <c r="F239" i="5"/>
  <c r="E239" i="5"/>
  <c r="AE239" i="5"/>
  <c r="B239" i="6"/>
  <c r="K239" i="5"/>
  <c r="W239" i="5"/>
  <c r="H239" i="12" s="1"/>
  <c r="R239" i="5"/>
  <c r="J239" i="5"/>
  <c r="G239" i="5"/>
  <c r="H239" i="5"/>
  <c r="D239" i="5"/>
  <c r="B239" i="12" s="1"/>
  <c r="N239" i="5"/>
  <c r="A239" i="12"/>
  <c r="U231" i="12"/>
  <c r="T231" i="12"/>
  <c r="V231" i="12"/>
  <c r="AF240" i="5"/>
  <c r="AR236" i="6" l="1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AG240" i="5"/>
  <c r="S240" i="5"/>
  <c r="F240" i="12" s="1"/>
  <c r="Y234" i="12"/>
  <c r="W234" i="12" s="1"/>
  <c r="A238" i="6"/>
  <c r="AZ236" i="6"/>
  <c r="AQ236" i="6"/>
  <c r="AG236" i="6"/>
  <c r="AF236" i="6"/>
  <c r="AS236" i="6"/>
  <c r="AN236" i="6"/>
  <c r="AH236" i="6"/>
  <c r="AY236" i="6"/>
  <c r="AO236" i="6"/>
  <c r="AZ237" i="6"/>
  <c r="BB237" i="6"/>
  <c r="BD237" i="6"/>
  <c r="AO237" i="6"/>
  <c r="AT237" i="6"/>
  <c r="AV237" i="6"/>
  <c r="AP237" i="6"/>
  <c r="AN237" i="6"/>
  <c r="AC237" i="6"/>
  <c r="AH237" i="6"/>
  <c r="K238" i="12"/>
  <c r="D239" i="6"/>
  <c r="F239" i="6"/>
  <c r="E239" i="12"/>
  <c r="AA235" i="5"/>
  <c r="AB235" i="5"/>
  <c r="C235" i="12"/>
  <c r="O235" i="12"/>
  <c r="AO235" i="12"/>
  <c r="M235" i="12"/>
  <c r="C235" i="6"/>
  <c r="O235" i="5"/>
  <c r="G237" i="12"/>
  <c r="X237" i="5"/>
  <c r="AG237" i="6"/>
  <c r="AB237" i="6"/>
  <c r="AF237" i="6"/>
  <c r="AI237" i="6"/>
  <c r="AE237" i="6"/>
  <c r="L239" i="12"/>
  <c r="J239" i="12"/>
  <c r="G240" i="5"/>
  <c r="J240" i="5"/>
  <c r="R240" i="5"/>
  <c r="N240" i="5"/>
  <c r="E240" i="5"/>
  <c r="B240" i="6"/>
  <c r="B240" i="5"/>
  <c r="C241" i="5"/>
  <c r="AE240" i="5"/>
  <c r="A240" i="12"/>
  <c r="W240" i="5"/>
  <c r="H240" i="12" s="1"/>
  <c r="AD240" i="5"/>
  <c r="D240" i="5"/>
  <c r="B240" i="12" s="1"/>
  <c r="K240" i="5"/>
  <c r="H240" i="5"/>
  <c r="F240" i="5"/>
  <c r="N234" i="12"/>
  <c r="U232" i="12"/>
  <c r="T232" i="12"/>
  <c r="V232" i="12"/>
  <c r="L236" i="5"/>
  <c r="I236" i="12"/>
  <c r="AM236" i="5"/>
  <c r="Z236" i="5"/>
  <c r="AC236" i="5"/>
  <c r="X233" i="12"/>
  <c r="W233" i="12"/>
  <c r="H238" i="6"/>
  <c r="T238" i="5" s="1"/>
  <c r="G238" i="6"/>
  <c r="E234" i="6"/>
  <c r="D234" i="12"/>
  <c r="AD237" i="6"/>
  <c r="AX237" i="6"/>
  <c r="BF237" i="6"/>
  <c r="AM237" i="6"/>
  <c r="BE237" i="6"/>
  <c r="AS237" i="6"/>
  <c r="AU237" i="6"/>
  <c r="BA237" i="6"/>
  <c r="AR237" i="6"/>
  <c r="BC237" i="6"/>
  <c r="BG237" i="6"/>
  <c r="AK237" i="6"/>
  <c r="AY237" i="6"/>
  <c r="AJ237" i="6"/>
  <c r="AQ237" i="6"/>
  <c r="AF241" i="5"/>
  <c r="X234" i="12" l="1"/>
  <c r="M238" i="6"/>
  <c r="BB238" i="6" s="1"/>
  <c r="A239" i="6"/>
  <c r="M239" i="6" s="1"/>
  <c r="AS239" i="6" s="1"/>
  <c r="S241" i="5"/>
  <c r="F241" i="12" s="1"/>
  <c r="AG241" i="5"/>
  <c r="C236" i="6"/>
  <c r="O236" i="5"/>
  <c r="E240" i="12"/>
  <c r="F240" i="6"/>
  <c r="K239" i="12"/>
  <c r="I237" i="12"/>
  <c r="L237" i="5"/>
  <c r="AM237" i="5"/>
  <c r="Z237" i="5"/>
  <c r="AC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L240" i="12"/>
  <c r="J240" i="12"/>
  <c r="J241" i="5"/>
  <c r="E241" i="5"/>
  <c r="AE241" i="5"/>
  <c r="N241" i="5"/>
  <c r="B241" i="5"/>
  <c r="C242" i="5"/>
  <c r="F241" i="5"/>
  <c r="W241" i="5"/>
  <c r="H241" i="12" s="1"/>
  <c r="B241" i="6"/>
  <c r="A241" i="12"/>
  <c r="H241" i="5"/>
  <c r="D241" i="5"/>
  <c r="B241" i="12" s="1"/>
  <c r="G241" i="5"/>
  <c r="K241" i="5"/>
  <c r="AD241" i="5"/>
  <c r="R241" i="5"/>
  <c r="D240" i="6"/>
  <c r="Y235" i="12"/>
  <c r="G239" i="6"/>
  <c r="H239" i="6"/>
  <c r="T239" i="5" s="1"/>
  <c r="AF242" i="5"/>
  <c r="AP238" i="6" l="1"/>
  <c r="AM238" i="6"/>
  <c r="AU238" i="6"/>
  <c r="AN238" i="6"/>
  <c r="AT238" i="6"/>
  <c r="BC238" i="6"/>
  <c r="BA238" i="6"/>
  <c r="AY238" i="6"/>
  <c r="BD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S242" i="5"/>
  <c r="F242" i="12" s="1"/>
  <c r="AG242" i="5"/>
  <c r="BG239" i="6"/>
  <c r="AV239" i="6"/>
  <c r="AP239" i="6"/>
  <c r="AQ239" i="6"/>
  <c r="AN239" i="6"/>
  <c r="AI239" i="6"/>
  <c r="AX239" i="6"/>
  <c r="Y236" i="12"/>
  <c r="X236" i="12" s="1"/>
  <c r="AY239" i="6"/>
  <c r="BE239" i="6"/>
  <c r="AE239" i="6"/>
  <c r="AU239" i="6"/>
  <c r="AO239" i="6"/>
  <c r="BF239" i="6"/>
  <c r="AM239" i="6"/>
  <c r="G239" i="12"/>
  <c r="X239" i="5"/>
  <c r="AG239" i="6"/>
  <c r="AK239" i="6"/>
  <c r="AF239" i="6"/>
  <c r="AB239" i="6"/>
  <c r="G240" i="6"/>
  <c r="H240" i="6"/>
  <c r="T240" i="5" s="1"/>
  <c r="A240" i="6"/>
  <c r="AB237" i="5"/>
  <c r="AA237" i="5"/>
  <c r="C237" i="12"/>
  <c r="O237" i="12"/>
  <c r="AO237" i="12"/>
  <c r="M237" i="12"/>
  <c r="E236" i="6"/>
  <c r="D236" i="12"/>
  <c r="AH239" i="6"/>
  <c r="BD239" i="6"/>
  <c r="BC239" i="6"/>
  <c r="BB239" i="6"/>
  <c r="AD239" i="6"/>
  <c r="AZ239" i="6"/>
  <c r="AR239" i="6"/>
  <c r="BA239" i="6"/>
  <c r="AT239" i="6"/>
  <c r="AC239" i="6"/>
  <c r="AJ239" i="6"/>
  <c r="W235" i="12"/>
  <c r="X235" i="12"/>
  <c r="F241" i="6"/>
  <c r="E241" i="12"/>
  <c r="J241" i="12"/>
  <c r="L241" i="12"/>
  <c r="A242" i="12"/>
  <c r="R242" i="5"/>
  <c r="AD242" i="5"/>
  <c r="H242" i="5"/>
  <c r="E242" i="5"/>
  <c r="W242" i="5"/>
  <c r="H242" i="12" s="1"/>
  <c r="AE242" i="5"/>
  <c r="B242" i="5"/>
  <c r="J242" i="5"/>
  <c r="C243" i="5"/>
  <c r="K242" i="5"/>
  <c r="G242" i="5"/>
  <c r="D242" i="5"/>
  <c r="B242" i="12" s="1"/>
  <c r="N242" i="5"/>
  <c r="B242" i="6"/>
  <c r="F242" i="5"/>
  <c r="D241" i="6"/>
  <c r="K240" i="12"/>
  <c r="N236" i="12"/>
  <c r="AM238" i="5"/>
  <c r="L238" i="5"/>
  <c r="I238" i="12"/>
  <c r="Z238" i="5"/>
  <c r="AC238" i="5"/>
  <c r="C237" i="6"/>
  <c r="O237" i="5"/>
  <c r="AF243" i="5"/>
  <c r="W236" i="12" l="1"/>
  <c r="V236" i="12" s="1"/>
  <c r="K241" i="12"/>
  <c r="S243" i="5"/>
  <c r="F243" i="12" s="1"/>
  <c r="AG243" i="5"/>
  <c r="E237" i="6"/>
  <c r="D237" i="12"/>
  <c r="C238" i="6"/>
  <c r="O238" i="5"/>
  <c r="H241" i="6"/>
  <c r="T241" i="5" s="1"/>
  <c r="G241" i="6"/>
  <c r="B243" i="6"/>
  <c r="C244" i="5"/>
  <c r="H243" i="5"/>
  <c r="A243" i="12"/>
  <c r="W243" i="5"/>
  <c r="H243" i="12" s="1"/>
  <c r="F243" i="5"/>
  <c r="E243" i="5"/>
  <c r="R243" i="5"/>
  <c r="G243" i="5"/>
  <c r="K243" i="5"/>
  <c r="D243" i="5"/>
  <c r="B243" i="12" s="1"/>
  <c r="AD243" i="5"/>
  <c r="N243" i="5"/>
  <c r="B243" i="5"/>
  <c r="AE243" i="5"/>
  <c r="J243" i="5"/>
  <c r="F242" i="6"/>
  <c r="E242" i="12"/>
  <c r="U235" i="12"/>
  <c r="T235" i="12"/>
  <c r="V235" i="12"/>
  <c r="N237" i="12"/>
  <c r="U236" i="12"/>
  <c r="A241" i="6"/>
  <c r="M241" i="6" s="1"/>
  <c r="I239" i="12"/>
  <c r="AM239" i="5"/>
  <c r="L239" i="5"/>
  <c r="Z239" i="5"/>
  <c r="AC239" i="5"/>
  <c r="AA238" i="5"/>
  <c r="AB238" i="5"/>
  <c r="C238" i="12"/>
  <c r="AO238" i="12"/>
  <c r="O238" i="12"/>
  <c r="M238" i="12"/>
  <c r="D242" i="6"/>
  <c r="J242" i="12"/>
  <c r="L242" i="12"/>
  <c r="Y237" i="12"/>
  <c r="G240" i="12"/>
  <c r="X240" i="5"/>
  <c r="M240" i="6"/>
  <c r="AD240" i="6" s="1"/>
  <c r="AF244" i="5"/>
  <c r="T236" i="12" l="1"/>
  <c r="S244" i="5"/>
  <c r="F244" i="12" s="1"/>
  <c r="AG244" i="5"/>
  <c r="AG240" i="6"/>
  <c r="K242" i="12"/>
  <c r="N238" i="12"/>
  <c r="BG241" i="6"/>
  <c r="AI241" i="6"/>
  <c r="AB241" i="6"/>
  <c r="AJ241" i="6"/>
  <c r="AU241" i="6"/>
  <c r="AX241" i="6"/>
  <c r="BC241" i="6"/>
  <c r="AR241" i="6"/>
  <c r="AE241" i="6"/>
  <c r="AY241" i="6"/>
  <c r="AM241" i="6"/>
  <c r="AZ241" i="6"/>
  <c r="AP241" i="6"/>
  <c r="AC241" i="6"/>
  <c r="BB241" i="6"/>
  <c r="BE241" i="6"/>
  <c r="BD241" i="6"/>
  <c r="AG241" i="6"/>
  <c r="AH241" i="6"/>
  <c r="AD241" i="6"/>
  <c r="AO241" i="6"/>
  <c r="AN241" i="6"/>
  <c r="BA241" i="6"/>
  <c r="AT241" i="6"/>
  <c r="AF241" i="6"/>
  <c r="AS241" i="6"/>
  <c r="BF241" i="6"/>
  <c r="AQ241" i="6"/>
  <c r="AK241" i="6"/>
  <c r="AV241" i="6"/>
  <c r="H242" i="6"/>
  <c r="T242" i="5" s="1"/>
  <c r="G242" i="6"/>
  <c r="AB239" i="5"/>
  <c r="AA239" i="5"/>
  <c r="C239" i="6"/>
  <c r="O239" i="5"/>
  <c r="C239" i="12"/>
  <c r="O239" i="12"/>
  <c r="AO239" i="12"/>
  <c r="M239" i="12"/>
  <c r="D243" i="6"/>
  <c r="E243" i="12"/>
  <c r="F243" i="6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AC240" i="5"/>
  <c r="X237" i="12"/>
  <c r="W237" i="12"/>
  <c r="Y238" i="12"/>
  <c r="L243" i="12"/>
  <c r="J243" i="12"/>
  <c r="C245" i="5"/>
  <c r="AD244" i="5"/>
  <c r="F244" i="5"/>
  <c r="K244" i="5"/>
  <c r="R244" i="5"/>
  <c r="D244" i="5"/>
  <c r="B244" i="12" s="1"/>
  <c r="G244" i="5"/>
  <c r="B244" i="6"/>
  <c r="E244" i="5"/>
  <c r="A244" i="12"/>
  <c r="AE244" i="5"/>
  <c r="H244" i="5"/>
  <c r="B244" i="5"/>
  <c r="W244" i="5"/>
  <c r="H244" i="12" s="1"/>
  <c r="J244" i="5"/>
  <c r="N244" i="5"/>
  <c r="A242" i="6"/>
  <c r="M242" i="6" s="1"/>
  <c r="G241" i="12"/>
  <c r="X241" i="5"/>
  <c r="AF245" i="5"/>
  <c r="AG245" i="5" l="1"/>
  <c r="S245" i="5"/>
  <c r="F245" i="12" s="1"/>
  <c r="AZ242" i="6"/>
  <c r="AT242" i="6"/>
  <c r="AN242" i="6"/>
  <c r="AX242" i="6"/>
  <c r="BD242" i="6"/>
  <c r="AM242" i="6"/>
  <c r="AU242" i="6"/>
  <c r="BF242" i="6"/>
  <c r="AQ242" i="6"/>
  <c r="AY242" i="6"/>
  <c r="BE242" i="6"/>
  <c r="BB242" i="6"/>
  <c r="BC242" i="6"/>
  <c r="AV242" i="6"/>
  <c r="AS242" i="6"/>
  <c r="AJ242" i="6"/>
  <c r="AK242" i="6"/>
  <c r="AF242" i="6"/>
  <c r="AR242" i="6"/>
  <c r="AO242" i="6"/>
  <c r="AH242" i="6"/>
  <c r="AP242" i="6"/>
  <c r="BA242" i="6"/>
  <c r="BG242" i="6"/>
  <c r="AG242" i="6"/>
  <c r="L241" i="5"/>
  <c r="AM241" i="5"/>
  <c r="I241" i="12"/>
  <c r="Z241" i="5"/>
  <c r="AC241" i="5"/>
  <c r="D244" i="6"/>
  <c r="F244" i="6"/>
  <c r="E244" i="12"/>
  <c r="F245" i="5"/>
  <c r="C246" i="5"/>
  <c r="R245" i="5"/>
  <c r="B245" i="5"/>
  <c r="E245" i="5"/>
  <c r="K245" i="5"/>
  <c r="N245" i="5"/>
  <c r="AE245" i="5"/>
  <c r="A245" i="12"/>
  <c r="G245" i="5"/>
  <c r="D245" i="5"/>
  <c r="B245" i="12" s="1"/>
  <c r="H245" i="5"/>
  <c r="W245" i="5"/>
  <c r="H245" i="12" s="1"/>
  <c r="J245" i="5"/>
  <c r="AD245" i="5"/>
  <c r="B245" i="6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L244" i="12"/>
  <c r="J244" i="12"/>
  <c r="K243" i="12"/>
  <c r="T237" i="12"/>
  <c r="U237" i="12"/>
  <c r="V237" i="12"/>
  <c r="AB240" i="5"/>
  <c r="AA240" i="5"/>
  <c r="A243" i="6"/>
  <c r="G243" i="6"/>
  <c r="H243" i="6"/>
  <c r="T243" i="5" s="1"/>
  <c r="Y239" i="12"/>
  <c r="AE242" i="6"/>
  <c r="AI242" i="6"/>
  <c r="AB242" i="6"/>
  <c r="AD242" i="6"/>
  <c r="AC242" i="6"/>
  <c r="AF246" i="5"/>
  <c r="A244" i="6" l="1"/>
  <c r="K244" i="12"/>
  <c r="N240" i="12"/>
  <c r="AG246" i="5"/>
  <c r="S246" i="5"/>
  <c r="F246" i="12" s="1"/>
  <c r="G243" i="12"/>
  <c r="X243" i="5"/>
  <c r="U238" i="12"/>
  <c r="T238" i="12"/>
  <c r="V238" i="12"/>
  <c r="E245" i="12"/>
  <c r="F245" i="6"/>
  <c r="H244" i="6"/>
  <c r="T244" i="5" s="1"/>
  <c r="G244" i="6"/>
  <c r="C241" i="12"/>
  <c r="M241" i="12"/>
  <c r="AO241" i="12"/>
  <c r="O241" i="12"/>
  <c r="C241" i="6"/>
  <c r="O241" i="5"/>
  <c r="X239" i="12"/>
  <c r="W239" i="12"/>
  <c r="M243" i="6"/>
  <c r="AF243" i="6" s="1"/>
  <c r="L242" i="5"/>
  <c r="AM242" i="5"/>
  <c r="I242" i="12"/>
  <c r="Z242" i="5"/>
  <c r="AC242" i="5"/>
  <c r="D240" i="12"/>
  <c r="E240" i="6"/>
  <c r="Y240" i="12"/>
  <c r="J245" i="12"/>
  <c r="L245" i="12"/>
  <c r="D245" i="6"/>
  <c r="AD246" i="5"/>
  <c r="AE246" i="5"/>
  <c r="K246" i="5"/>
  <c r="R246" i="5"/>
  <c r="G246" i="5"/>
  <c r="J246" i="5"/>
  <c r="A246" i="12"/>
  <c r="C247" i="5"/>
  <c r="E246" i="5"/>
  <c r="F246" i="5"/>
  <c r="W246" i="5"/>
  <c r="H246" i="12" s="1"/>
  <c r="N246" i="5"/>
  <c r="H246" i="5"/>
  <c r="D246" i="5"/>
  <c r="B246" i="12" s="1"/>
  <c r="B246" i="5"/>
  <c r="B246" i="6"/>
  <c r="AA241" i="5"/>
  <c r="AB241" i="5"/>
  <c r="AF247" i="5"/>
  <c r="M244" i="6" l="1"/>
  <c r="AU244" i="6" s="1"/>
  <c r="N241" i="12"/>
  <c r="AG247" i="5"/>
  <c r="S247" i="5"/>
  <c r="F247" i="12" s="1"/>
  <c r="K245" i="12"/>
  <c r="AD247" i="5"/>
  <c r="W247" i="5"/>
  <c r="H247" i="12" s="1"/>
  <c r="N247" i="5"/>
  <c r="E247" i="5"/>
  <c r="G247" i="5"/>
  <c r="A247" i="12"/>
  <c r="AE247" i="5"/>
  <c r="C248" i="5"/>
  <c r="D247" i="5"/>
  <c r="B247" i="12" s="1"/>
  <c r="B247" i="5"/>
  <c r="H247" i="5"/>
  <c r="K247" i="5"/>
  <c r="R247" i="5"/>
  <c r="B247" i="6"/>
  <c r="F247" i="5"/>
  <c r="J247" i="5"/>
  <c r="H245" i="6"/>
  <c r="T245" i="5" s="1"/>
  <c r="G245" i="6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245" i="6"/>
  <c r="M245" i="6" s="1"/>
  <c r="AI243" i="6"/>
  <c r="AH243" i="6"/>
  <c r="AM243" i="5"/>
  <c r="I243" i="12"/>
  <c r="L243" i="5"/>
  <c r="Z243" i="5"/>
  <c r="AC243" i="5"/>
  <c r="D246" i="6"/>
  <c r="L246" i="12"/>
  <c r="J246" i="12"/>
  <c r="E246" i="12"/>
  <c r="F246" i="6"/>
  <c r="AK243" i="6"/>
  <c r="AG243" i="6"/>
  <c r="AC243" i="6"/>
  <c r="Y241" i="12"/>
  <c r="G244" i="12"/>
  <c r="X244" i="5"/>
  <c r="AJ243" i="6"/>
  <c r="AD243" i="6"/>
  <c r="AF248" i="5"/>
  <c r="AG244" i="6" l="1"/>
  <c r="AH244" i="6"/>
  <c r="AJ244" i="6"/>
  <c r="AB244" i="6"/>
  <c r="AR244" i="6"/>
  <c r="AE244" i="6"/>
  <c r="AF244" i="6"/>
  <c r="AD244" i="6"/>
  <c r="AI244" i="6"/>
  <c r="AP244" i="6"/>
  <c r="AC244" i="6"/>
  <c r="BE244" i="6"/>
  <c r="BB244" i="6"/>
  <c r="AO244" i="6"/>
  <c r="AX244" i="6"/>
  <c r="AK244" i="6"/>
  <c r="AV244" i="6"/>
  <c r="AN244" i="6"/>
  <c r="AM244" i="6"/>
  <c r="AZ244" i="6"/>
  <c r="BD244" i="6"/>
  <c r="AQ244" i="6"/>
  <c r="BF244" i="6"/>
  <c r="AY244" i="6"/>
  <c r="AS244" i="6"/>
  <c r="BA244" i="6"/>
  <c r="AT244" i="6"/>
  <c r="BC244" i="6"/>
  <c r="BG244" i="6"/>
  <c r="S248" i="5"/>
  <c r="F248" i="12" s="1"/>
  <c r="AG248" i="5"/>
  <c r="N242" i="12"/>
  <c r="AS245" i="6"/>
  <c r="AO245" i="6"/>
  <c r="AZ245" i="6"/>
  <c r="AM245" i="6"/>
  <c r="AN245" i="6"/>
  <c r="AT245" i="6"/>
  <c r="BB245" i="6"/>
  <c r="AY245" i="6"/>
  <c r="AV245" i="6"/>
  <c r="AE245" i="6"/>
  <c r="AK245" i="6"/>
  <c r="BD245" i="6"/>
  <c r="AQ245" i="6"/>
  <c r="BA245" i="6"/>
  <c r="AP245" i="6"/>
  <c r="BC245" i="6"/>
  <c r="AG245" i="6"/>
  <c r="BE245" i="6"/>
  <c r="AU245" i="6"/>
  <c r="BG245" i="6"/>
  <c r="AB245" i="6"/>
  <c r="AR245" i="6"/>
  <c r="AX245" i="6"/>
  <c r="BF245" i="6"/>
  <c r="AM244" i="5"/>
  <c r="I244" i="12"/>
  <c r="L244" i="5"/>
  <c r="Z244" i="5"/>
  <c r="AC244" i="5"/>
  <c r="X241" i="12"/>
  <c r="W241" i="12"/>
  <c r="K246" i="12"/>
  <c r="G246" i="6"/>
  <c r="H246" i="6"/>
  <c r="T246" i="5" s="1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F248" i="5"/>
  <c r="W248" i="5"/>
  <c r="H248" i="12" s="1"/>
  <c r="D248" i="5"/>
  <c r="B248" i="12" s="1"/>
  <c r="B248" i="5"/>
  <c r="B248" i="6"/>
  <c r="A248" i="12"/>
  <c r="J248" i="5"/>
  <c r="K248" i="5"/>
  <c r="G248" i="5"/>
  <c r="H248" i="5"/>
  <c r="R248" i="5"/>
  <c r="C249" i="5"/>
  <c r="N248" i="5"/>
  <c r="AE248" i="5"/>
  <c r="E248" i="5"/>
  <c r="AD248" i="5"/>
  <c r="L247" i="12"/>
  <c r="J247" i="12"/>
  <c r="A246" i="6"/>
  <c r="AB243" i="5"/>
  <c r="AA243" i="5"/>
  <c r="C243" i="6"/>
  <c r="O243" i="5"/>
  <c r="AD245" i="6"/>
  <c r="AJ245" i="6"/>
  <c r="AC245" i="6"/>
  <c r="AH245" i="6"/>
  <c r="AI245" i="6"/>
  <c r="AF245" i="6"/>
  <c r="E247" i="12"/>
  <c r="F247" i="6"/>
  <c r="D247" i="6"/>
  <c r="AF249" i="5"/>
  <c r="Y243" i="12" l="1"/>
  <c r="W243" i="12" s="1"/>
  <c r="AG249" i="5"/>
  <c r="S249" i="5"/>
  <c r="F249" i="12" s="1"/>
  <c r="E243" i="6"/>
  <c r="D243" i="12"/>
  <c r="F248" i="6"/>
  <c r="E248" i="12"/>
  <c r="J248" i="12"/>
  <c r="L248" i="12"/>
  <c r="AM245" i="5"/>
  <c r="I245" i="12"/>
  <c r="L245" i="5"/>
  <c r="Z245" i="5"/>
  <c r="AC245" i="5"/>
  <c r="X242" i="12"/>
  <c r="W242" i="12"/>
  <c r="M246" i="6"/>
  <c r="AB246" i="6" s="1"/>
  <c r="V241" i="12"/>
  <c r="U241" i="12"/>
  <c r="T241" i="12"/>
  <c r="C244" i="12"/>
  <c r="O244" i="12"/>
  <c r="M244" i="12"/>
  <c r="AO244" i="12"/>
  <c r="H247" i="6"/>
  <c r="T247" i="5" s="1"/>
  <c r="G247" i="6"/>
  <c r="A247" i="6"/>
  <c r="K247" i="12"/>
  <c r="D248" i="6"/>
  <c r="B249" i="6"/>
  <c r="C250" i="5"/>
  <c r="A249" i="12"/>
  <c r="H249" i="5"/>
  <c r="F249" i="5"/>
  <c r="E249" i="5"/>
  <c r="AE249" i="5"/>
  <c r="G249" i="5"/>
  <c r="K249" i="5"/>
  <c r="B249" i="5"/>
  <c r="J249" i="5"/>
  <c r="W249" i="5"/>
  <c r="H249" i="12" s="1"/>
  <c r="R249" i="5"/>
  <c r="AD249" i="5"/>
  <c r="D249" i="5"/>
  <c r="B249" i="12" s="1"/>
  <c r="N249" i="5"/>
  <c r="N243" i="12"/>
  <c r="G246" i="12"/>
  <c r="X246" i="5"/>
  <c r="AB244" i="5"/>
  <c r="AA244" i="5"/>
  <c r="C244" i="6"/>
  <c r="O244" i="5"/>
  <c r="AF250" i="5"/>
  <c r="AF246" i="6" l="1"/>
  <c r="Y244" i="12"/>
  <c r="X244" i="12" s="1"/>
  <c r="X243" i="12"/>
  <c r="S250" i="5"/>
  <c r="F250" i="12" s="1"/>
  <c r="AG250" i="5"/>
  <c r="A248" i="6"/>
  <c r="K248" i="12"/>
  <c r="E244" i="6"/>
  <c r="D244" i="12"/>
  <c r="F249" i="6"/>
  <c r="E249" i="12"/>
  <c r="J249" i="12"/>
  <c r="L249" i="12"/>
  <c r="G248" i="6"/>
  <c r="H248" i="6"/>
  <c r="T248" i="5" s="1"/>
  <c r="M247" i="6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AC246" i="5"/>
  <c r="D249" i="6"/>
  <c r="B250" i="5"/>
  <c r="AE250" i="5"/>
  <c r="K250" i="5"/>
  <c r="B250" i="6"/>
  <c r="W250" i="5"/>
  <c r="H250" i="12" s="1"/>
  <c r="D250" i="5"/>
  <c r="B250" i="12" s="1"/>
  <c r="C251" i="5"/>
  <c r="F250" i="5"/>
  <c r="G250" i="5"/>
  <c r="AD250" i="5"/>
  <c r="J250" i="5"/>
  <c r="N250" i="5"/>
  <c r="R250" i="5"/>
  <c r="E250" i="5"/>
  <c r="A250" i="12"/>
  <c r="H250" i="5"/>
  <c r="G247" i="12"/>
  <c r="X247" i="5"/>
  <c r="W244" i="12"/>
  <c r="N244" i="12"/>
  <c r="U242" i="12"/>
  <c r="T242" i="12"/>
  <c r="V242" i="12"/>
  <c r="C245" i="12"/>
  <c r="AO245" i="12"/>
  <c r="O245" i="12"/>
  <c r="M245" i="12"/>
  <c r="AF251" i="5"/>
  <c r="M248" i="6" l="1"/>
  <c r="AI248" i="6" s="1"/>
  <c r="A249" i="6"/>
  <c r="M249" i="6" s="1"/>
  <c r="BA249" i="6" s="1"/>
  <c r="S251" i="5"/>
  <c r="F251" i="12" s="1"/>
  <c r="AG251" i="5"/>
  <c r="Y245" i="12"/>
  <c r="W245" i="12" s="1"/>
  <c r="K249" i="12"/>
  <c r="AM247" i="5"/>
  <c r="L247" i="5"/>
  <c r="I247" i="12"/>
  <c r="Z247" i="5"/>
  <c r="AC247" i="5"/>
  <c r="C246" i="6"/>
  <c r="O246" i="5"/>
  <c r="N245" i="12"/>
  <c r="T244" i="12"/>
  <c r="V244" i="12"/>
  <c r="U244" i="12"/>
  <c r="J250" i="12"/>
  <c r="L250" i="12"/>
  <c r="E250" i="12"/>
  <c r="F250" i="6"/>
  <c r="D250" i="6"/>
  <c r="K251" i="5"/>
  <c r="F251" i="5"/>
  <c r="AD251" i="5"/>
  <c r="A251" i="12"/>
  <c r="D251" i="5"/>
  <c r="B251" i="12" s="1"/>
  <c r="B251" i="6"/>
  <c r="C252" i="5"/>
  <c r="W251" i="5"/>
  <c r="H251" i="12" s="1"/>
  <c r="G251" i="5"/>
  <c r="H251" i="5"/>
  <c r="AE251" i="5"/>
  <c r="B251" i="5"/>
  <c r="N251" i="5"/>
  <c r="R251" i="5"/>
  <c r="E251" i="5"/>
  <c r="J251" i="5"/>
  <c r="H249" i="6"/>
  <c r="T249" i="5" s="1"/>
  <c r="G249" i="6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F252" i="5"/>
  <c r="X245" i="12" l="1"/>
  <c r="BC248" i="6"/>
  <c r="AS248" i="6"/>
  <c r="BB248" i="6"/>
  <c r="AY248" i="6"/>
  <c r="AQ248" i="6"/>
  <c r="AE248" i="6"/>
  <c r="AB248" i="6"/>
  <c r="BF248" i="6"/>
  <c r="AF248" i="6"/>
  <c r="AU248" i="6"/>
  <c r="AR248" i="6"/>
  <c r="AD248" i="6"/>
  <c r="AX248" i="6"/>
  <c r="AH248" i="6"/>
  <c r="AV248" i="6"/>
  <c r="AJ248" i="6"/>
  <c r="AT248" i="6"/>
  <c r="BA248" i="6"/>
  <c r="AK248" i="6"/>
  <c r="BD248" i="6"/>
  <c r="AP248" i="6"/>
  <c r="AN248" i="6"/>
  <c r="AO248" i="6"/>
  <c r="BE248" i="6"/>
  <c r="AG248" i="6"/>
  <c r="AM248" i="6"/>
  <c r="AZ248" i="6"/>
  <c r="BG248" i="6"/>
  <c r="AC248" i="6"/>
  <c r="AG249" i="6"/>
  <c r="AU249" i="6"/>
  <c r="BF249" i="6"/>
  <c r="AS249" i="6"/>
  <c r="BD249" i="6"/>
  <c r="BC249" i="6"/>
  <c r="AM249" i="6"/>
  <c r="AX249" i="6"/>
  <c r="AY249" i="6"/>
  <c r="AZ249" i="6"/>
  <c r="BB249" i="6"/>
  <c r="AI249" i="6"/>
  <c r="BE249" i="6"/>
  <c r="AG252" i="5"/>
  <c r="S252" i="5"/>
  <c r="F252" i="12" s="1"/>
  <c r="Y246" i="12"/>
  <c r="X246" i="12" s="1"/>
  <c r="BG249" i="6"/>
  <c r="AT249" i="6"/>
  <c r="AR249" i="6"/>
  <c r="AQ249" i="6"/>
  <c r="AE249" i="6"/>
  <c r="AV249" i="6"/>
  <c r="AO249" i="6"/>
  <c r="AN249" i="6"/>
  <c r="AP249" i="6"/>
  <c r="K250" i="12"/>
  <c r="AK249" i="6"/>
  <c r="AD249" i="6"/>
  <c r="AJ249" i="6"/>
  <c r="G249" i="12"/>
  <c r="X249" i="5"/>
  <c r="D251" i="6"/>
  <c r="G252" i="5"/>
  <c r="R252" i="5"/>
  <c r="W252" i="5"/>
  <c r="H252" i="12" s="1"/>
  <c r="AD252" i="5"/>
  <c r="B252" i="6"/>
  <c r="J252" i="5"/>
  <c r="A252" i="12"/>
  <c r="N252" i="5"/>
  <c r="K252" i="5"/>
  <c r="E252" i="5"/>
  <c r="H252" i="5"/>
  <c r="F252" i="5"/>
  <c r="C253" i="5"/>
  <c r="AE252" i="5"/>
  <c r="D252" i="5"/>
  <c r="B252" i="12" s="1"/>
  <c r="B252" i="5"/>
  <c r="G250" i="6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AC248" i="5"/>
  <c r="N246" i="12"/>
  <c r="AC249" i="6"/>
  <c r="AH249" i="6"/>
  <c r="AF249" i="6"/>
  <c r="AB249" i="6"/>
  <c r="E251" i="12"/>
  <c r="F251" i="6"/>
  <c r="J251" i="12"/>
  <c r="L251" i="12"/>
  <c r="E246" i="6"/>
  <c r="D246" i="12"/>
  <c r="A250" i="6"/>
  <c r="C247" i="12"/>
  <c r="AO247" i="12"/>
  <c r="O247" i="12"/>
  <c r="M247" i="12"/>
  <c r="AF253" i="5"/>
  <c r="W246" i="12" l="1"/>
  <c r="V246" i="12" s="1"/>
  <c r="AG253" i="5"/>
  <c r="S253" i="5"/>
  <c r="F253" i="12" s="1"/>
  <c r="N247" i="12"/>
  <c r="C248" i="12"/>
  <c r="O248" i="12"/>
  <c r="AO248" i="12"/>
  <c r="M248" i="12"/>
  <c r="D247" i="12"/>
  <c r="E247" i="6"/>
  <c r="F253" i="5"/>
  <c r="N253" i="5"/>
  <c r="E253" i="5"/>
  <c r="R253" i="5"/>
  <c r="AE253" i="5"/>
  <c r="AD253" i="5"/>
  <c r="J253" i="5"/>
  <c r="D253" i="5"/>
  <c r="B253" i="12" s="1"/>
  <c r="B253" i="5"/>
  <c r="H253" i="5"/>
  <c r="C254" i="5"/>
  <c r="G253" i="5"/>
  <c r="K253" i="5"/>
  <c r="W253" i="5"/>
  <c r="H253" i="12" s="1"/>
  <c r="A253" i="12"/>
  <c r="B253" i="6"/>
  <c r="D252" i="6"/>
  <c r="F252" i="6"/>
  <c r="E252" i="12"/>
  <c r="AM249" i="5"/>
  <c r="L249" i="5"/>
  <c r="I249" i="12"/>
  <c r="Z249" i="5"/>
  <c r="AC249" i="5"/>
  <c r="Y247" i="12"/>
  <c r="K251" i="12"/>
  <c r="A251" i="6"/>
  <c r="M251" i="6" s="1"/>
  <c r="BE251" i="6" s="1"/>
  <c r="AB248" i="5"/>
  <c r="AA248" i="5"/>
  <c r="C248" i="6"/>
  <c r="O248" i="5"/>
  <c r="G250" i="12"/>
  <c r="X250" i="5"/>
  <c r="M250" i="6"/>
  <c r="AK250" i="6" s="1"/>
  <c r="L252" i="12"/>
  <c r="J252" i="12"/>
  <c r="H251" i="6"/>
  <c r="T251" i="5" s="1"/>
  <c r="G251" i="6"/>
  <c r="AF254" i="5"/>
  <c r="T246" i="12" l="1"/>
  <c r="U246" i="12"/>
  <c r="A252" i="6"/>
  <c r="M252" i="6" s="1"/>
  <c r="BE252" i="6" s="1"/>
  <c r="S254" i="5"/>
  <c r="F254" i="12" s="1"/>
  <c r="AG254" i="5"/>
  <c r="AG251" i="6"/>
  <c r="AD251" i="6"/>
  <c r="AK251" i="6"/>
  <c r="AF251" i="6"/>
  <c r="BA251" i="6"/>
  <c r="AE251" i="6"/>
  <c r="AS251" i="6"/>
  <c r="AY251" i="6"/>
  <c r="AZ251" i="6"/>
  <c r="AT251" i="6"/>
  <c r="AX251" i="6"/>
  <c r="BD251" i="6"/>
  <c r="BG251" i="6"/>
  <c r="AN251" i="6"/>
  <c r="AC251" i="6"/>
  <c r="AR251" i="6"/>
  <c r="AU251" i="6"/>
  <c r="BC251" i="6"/>
  <c r="AI251" i="6"/>
  <c r="BF251" i="6"/>
  <c r="AV251" i="6"/>
  <c r="AM251" i="6"/>
  <c r="AJ251" i="6"/>
  <c r="AB251" i="6"/>
  <c r="AO251" i="6"/>
  <c r="BB251" i="6"/>
  <c r="AP251" i="6"/>
  <c r="AQ251" i="6"/>
  <c r="AH251" i="6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H252" i="6"/>
  <c r="T252" i="5" s="1"/>
  <c r="G252" i="6"/>
  <c r="B254" i="5"/>
  <c r="G254" i="5"/>
  <c r="C255" i="5"/>
  <c r="AE254" i="5"/>
  <c r="AD254" i="5"/>
  <c r="D254" i="5"/>
  <c r="B254" i="12" s="1"/>
  <c r="W254" i="5"/>
  <c r="H254" i="12" s="1"/>
  <c r="H254" i="5"/>
  <c r="F254" i="5"/>
  <c r="J254" i="5"/>
  <c r="N254" i="5"/>
  <c r="R254" i="5"/>
  <c r="A254" i="12"/>
  <c r="E254" i="5"/>
  <c r="K254" i="5"/>
  <c r="B254" i="6"/>
  <c r="F253" i="6"/>
  <c r="E253" i="12"/>
  <c r="D253" i="6"/>
  <c r="N248" i="12"/>
  <c r="G251" i="12"/>
  <c r="X251" i="5"/>
  <c r="K252" i="12"/>
  <c r="AB250" i="6"/>
  <c r="AM250" i="5"/>
  <c r="L250" i="5"/>
  <c r="I250" i="12"/>
  <c r="Z250" i="5"/>
  <c r="AC250" i="5"/>
  <c r="D248" i="12"/>
  <c r="E248" i="6"/>
  <c r="W247" i="12"/>
  <c r="X247" i="12"/>
  <c r="AA249" i="5"/>
  <c r="AB249" i="5"/>
  <c r="C249" i="12"/>
  <c r="M249" i="12"/>
  <c r="O249" i="12"/>
  <c r="AO249" i="12"/>
  <c r="L253" i="12"/>
  <c r="J253" i="12"/>
  <c r="Y248" i="12"/>
  <c r="AF255" i="5"/>
  <c r="BD252" i="6" l="1"/>
  <c r="AG255" i="5"/>
  <c r="S255" i="5"/>
  <c r="F255" i="12" s="1"/>
  <c r="AF252" i="6"/>
  <c r="BB252" i="6"/>
  <c r="Y249" i="12"/>
  <c r="W249" i="12" s="1"/>
  <c r="AC252" i="6"/>
  <c r="AO252" i="6"/>
  <c r="AX252" i="6"/>
  <c r="AQ252" i="6"/>
  <c r="AH252" i="6"/>
  <c r="AZ252" i="6"/>
  <c r="AI252" i="6"/>
  <c r="AM252" i="6"/>
  <c r="AV252" i="6"/>
  <c r="AR252" i="6"/>
  <c r="AD252" i="6"/>
  <c r="BF252" i="6"/>
  <c r="AY252" i="6"/>
  <c r="AK252" i="6"/>
  <c r="AP252" i="6"/>
  <c r="AN252" i="6"/>
  <c r="AU252" i="6"/>
  <c r="X248" i="12"/>
  <c r="W248" i="12"/>
  <c r="AA250" i="5"/>
  <c r="AB250" i="5"/>
  <c r="C250" i="6"/>
  <c r="O250" i="5"/>
  <c r="I251" i="12"/>
  <c r="L251" i="5"/>
  <c r="AM251" i="5"/>
  <c r="Z251" i="5"/>
  <c r="AC251" i="5"/>
  <c r="D254" i="6"/>
  <c r="R255" i="5"/>
  <c r="B255" i="5"/>
  <c r="D255" i="5"/>
  <c r="B255" i="12" s="1"/>
  <c r="B255" i="6"/>
  <c r="G255" i="5"/>
  <c r="AE255" i="5"/>
  <c r="J255" i="5"/>
  <c r="W255" i="5"/>
  <c r="H255" i="12" s="1"/>
  <c r="K255" i="5"/>
  <c r="N255" i="5"/>
  <c r="F255" i="5"/>
  <c r="H255" i="5"/>
  <c r="AD255" i="5"/>
  <c r="E255" i="5"/>
  <c r="C256" i="5"/>
  <c r="A255" i="12"/>
  <c r="E249" i="6"/>
  <c r="D249" i="12"/>
  <c r="K253" i="12"/>
  <c r="N249" i="12"/>
  <c r="V247" i="12"/>
  <c r="T247" i="12"/>
  <c r="U247" i="12"/>
  <c r="C250" i="12"/>
  <c r="M250" i="12"/>
  <c r="O250" i="12"/>
  <c r="AO250" i="12"/>
  <c r="H253" i="6"/>
  <c r="T253" i="5" s="1"/>
  <c r="G253" i="6"/>
  <c r="J254" i="12"/>
  <c r="L254" i="12"/>
  <c r="F254" i="6"/>
  <c r="E254" i="12"/>
  <c r="A253" i="6"/>
  <c r="AJ252" i="6"/>
  <c r="AT252" i="6"/>
  <c r="BC252" i="6"/>
  <c r="AG252" i="6"/>
  <c r="AE252" i="6"/>
  <c r="AB252" i="6"/>
  <c r="BA252" i="6"/>
  <c r="BG252" i="6"/>
  <c r="AS252" i="6"/>
  <c r="G252" i="12"/>
  <c r="X252" i="5"/>
  <c r="AF256" i="5"/>
  <c r="X249" i="12" l="1"/>
  <c r="A254" i="6"/>
  <c r="Y250" i="12"/>
  <c r="W250" i="12" s="1"/>
  <c r="AG256" i="5"/>
  <c r="S256" i="5"/>
  <c r="F256" i="12" s="1"/>
  <c r="K254" i="12"/>
  <c r="M253" i="6"/>
  <c r="F256" i="5"/>
  <c r="D256" i="5"/>
  <c r="B256" i="12" s="1"/>
  <c r="W256" i="5"/>
  <c r="H256" i="12" s="1"/>
  <c r="C257" i="5"/>
  <c r="H256" i="5"/>
  <c r="AE256" i="5"/>
  <c r="A256" i="12"/>
  <c r="R256" i="5"/>
  <c r="N256" i="5"/>
  <c r="K256" i="5"/>
  <c r="J256" i="5"/>
  <c r="E256" i="5"/>
  <c r="G256" i="5"/>
  <c r="B256" i="5"/>
  <c r="AD256" i="5"/>
  <c r="B256" i="6"/>
  <c r="D255" i="6"/>
  <c r="E255" i="12"/>
  <c r="F255" i="6"/>
  <c r="H254" i="6"/>
  <c r="T254" i="5" s="1"/>
  <c r="G254" i="6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AC252" i="5"/>
  <c r="G253" i="12"/>
  <c r="X253" i="5"/>
  <c r="N250" i="12"/>
  <c r="J255" i="12"/>
  <c r="L255" i="12"/>
  <c r="AB251" i="5"/>
  <c r="AA251" i="5"/>
  <c r="C251" i="12"/>
  <c r="O251" i="12"/>
  <c r="AO251" i="12"/>
  <c r="M251" i="12"/>
  <c r="AF257" i="5"/>
  <c r="X250" i="12" l="1"/>
  <c r="A255" i="6"/>
  <c r="M255" i="6" s="1"/>
  <c r="AQ255" i="6" s="1"/>
  <c r="M254" i="6"/>
  <c r="AV254" i="6" s="1"/>
  <c r="S257" i="5"/>
  <c r="F257" i="12" s="1"/>
  <c r="AG257" i="5"/>
  <c r="Y251" i="12"/>
  <c r="X251" i="12" s="1"/>
  <c r="K255" i="12"/>
  <c r="I253" i="12"/>
  <c r="L253" i="5"/>
  <c r="AM253" i="5"/>
  <c r="Z253" i="5"/>
  <c r="AC253" i="5"/>
  <c r="C252" i="6"/>
  <c r="O252" i="5"/>
  <c r="E251" i="6"/>
  <c r="D251" i="12"/>
  <c r="F256" i="6"/>
  <c r="E256" i="12"/>
  <c r="D257" i="5"/>
  <c r="B257" i="12" s="1"/>
  <c r="E257" i="5"/>
  <c r="AD257" i="5"/>
  <c r="G257" i="5"/>
  <c r="J257" i="5"/>
  <c r="H257" i="5"/>
  <c r="B257" i="6"/>
  <c r="A257" i="12"/>
  <c r="K257" i="5"/>
  <c r="C258" i="5"/>
  <c r="N257" i="5"/>
  <c r="AE257" i="5"/>
  <c r="W257" i="5"/>
  <c r="H257" i="12" s="1"/>
  <c r="F257" i="5"/>
  <c r="B257" i="5"/>
  <c r="R257" i="5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H255" i="6"/>
  <c r="T255" i="5" s="1"/>
  <c r="G255" i="6"/>
  <c r="D256" i="6"/>
  <c r="A256" i="6" s="1"/>
  <c r="J256" i="12"/>
  <c r="L256" i="12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F258" i="5"/>
  <c r="AE254" i="6" l="1"/>
  <c r="AZ254" i="6"/>
  <c r="AI254" i="6"/>
  <c r="AF254" i="6"/>
  <c r="BB254" i="6"/>
  <c r="AC254" i="6"/>
  <c r="BD254" i="6"/>
  <c r="BE254" i="6"/>
  <c r="AU254" i="6"/>
  <c r="BA254" i="6"/>
  <c r="AY254" i="6"/>
  <c r="AQ254" i="6"/>
  <c r="BG254" i="6"/>
  <c r="AT254" i="6"/>
  <c r="AK254" i="6"/>
  <c r="BC254" i="6"/>
  <c r="AO254" i="6"/>
  <c r="AD254" i="6"/>
  <c r="AN254" i="6"/>
  <c r="BF254" i="6"/>
  <c r="AX254" i="6"/>
  <c r="AS254" i="6"/>
  <c r="AR254" i="6"/>
  <c r="AM254" i="6"/>
  <c r="AH254" i="6"/>
  <c r="AJ254" i="6"/>
  <c r="AB254" i="6"/>
  <c r="AP254" i="6"/>
  <c r="AG254" i="6"/>
  <c r="Y252" i="12"/>
  <c r="X252" i="12" s="1"/>
  <c r="AS255" i="6"/>
  <c r="BB255" i="6"/>
  <c r="BG255" i="6"/>
  <c r="AR255" i="6"/>
  <c r="AX255" i="6"/>
  <c r="AY255" i="6"/>
  <c r="W251" i="12"/>
  <c r="U251" i="12" s="1"/>
  <c r="BE255" i="6"/>
  <c r="AE255" i="6"/>
  <c r="BF255" i="6"/>
  <c r="AO255" i="6"/>
  <c r="AZ255" i="6"/>
  <c r="AU255" i="6"/>
  <c r="AD255" i="6"/>
  <c r="BA255" i="6"/>
  <c r="K256" i="12"/>
  <c r="BC255" i="6"/>
  <c r="AP255" i="6"/>
  <c r="S258" i="5"/>
  <c r="F258" i="12" s="1"/>
  <c r="AG258" i="5"/>
  <c r="AT255" i="6"/>
  <c r="AN255" i="6"/>
  <c r="BD255" i="6"/>
  <c r="AV255" i="6"/>
  <c r="AH255" i="6"/>
  <c r="AM255" i="6"/>
  <c r="N252" i="12"/>
  <c r="AB255" i="6"/>
  <c r="AK255" i="6"/>
  <c r="G255" i="12"/>
  <c r="X255" i="5"/>
  <c r="W252" i="12"/>
  <c r="C259" i="5"/>
  <c r="B258" i="6"/>
  <c r="W258" i="5"/>
  <c r="H258" i="12" s="1"/>
  <c r="K258" i="5"/>
  <c r="D258" i="5"/>
  <c r="B258" i="12" s="1"/>
  <c r="A258" i="12"/>
  <c r="E258" i="5"/>
  <c r="G258" i="5"/>
  <c r="N258" i="5"/>
  <c r="J258" i="5"/>
  <c r="B258" i="5"/>
  <c r="AE258" i="5"/>
  <c r="F258" i="5"/>
  <c r="R258" i="5"/>
  <c r="H258" i="5"/>
  <c r="AD258" i="5"/>
  <c r="L257" i="12"/>
  <c r="J257" i="12"/>
  <c r="D252" i="12"/>
  <c r="E252" i="6"/>
  <c r="AA253" i="5"/>
  <c r="AB253" i="5"/>
  <c r="C253" i="6"/>
  <c r="O253" i="5"/>
  <c r="G256" i="6"/>
  <c r="M256" i="6"/>
  <c r="BF256" i="6" s="1"/>
  <c r="H256" i="6"/>
  <c r="T256" i="5" s="1"/>
  <c r="AG255" i="6"/>
  <c r="AF255" i="6"/>
  <c r="AI255" i="6"/>
  <c r="AC255" i="6"/>
  <c r="AJ255" i="6"/>
  <c r="L254" i="5"/>
  <c r="I254" i="12"/>
  <c r="AM254" i="5"/>
  <c r="Z254" i="5"/>
  <c r="AC254" i="5"/>
  <c r="E257" i="12"/>
  <c r="F257" i="6"/>
  <c r="D257" i="6"/>
  <c r="A257" i="6" s="1"/>
  <c r="C253" i="12"/>
  <c r="AO253" i="12"/>
  <c r="O253" i="12"/>
  <c r="M253" i="12"/>
  <c r="AF259" i="5"/>
  <c r="T251" i="12" l="1"/>
  <c r="V251" i="12"/>
  <c r="AJ256" i="6"/>
  <c r="AP256" i="6"/>
  <c r="BG256" i="6"/>
  <c r="S259" i="5"/>
  <c r="F259" i="12" s="1"/>
  <c r="AG259" i="5"/>
  <c r="BA256" i="6"/>
  <c r="BE256" i="6"/>
  <c r="AS256" i="6"/>
  <c r="AV256" i="6"/>
  <c r="Y253" i="12"/>
  <c r="W253" i="12" s="1"/>
  <c r="H257" i="6"/>
  <c r="T257" i="5" s="1"/>
  <c r="G257" i="6"/>
  <c r="M257" i="6"/>
  <c r="BG257" i="6" s="1"/>
  <c r="AA254" i="5"/>
  <c r="AB254" i="5"/>
  <c r="C254" i="6"/>
  <c r="O254" i="5"/>
  <c r="G256" i="12"/>
  <c r="X256" i="5"/>
  <c r="AB256" i="6"/>
  <c r="AY256" i="6"/>
  <c r="AR256" i="6"/>
  <c r="AT256" i="6"/>
  <c r="BD256" i="6"/>
  <c r="AQ256" i="6"/>
  <c r="AD256" i="6"/>
  <c r="F258" i="6"/>
  <c r="E258" i="12"/>
  <c r="D258" i="6"/>
  <c r="J258" i="12"/>
  <c r="L258" i="12"/>
  <c r="I255" i="12"/>
  <c r="L255" i="5"/>
  <c r="AM255" i="5"/>
  <c r="Z255" i="5"/>
  <c r="AC255" i="5"/>
  <c r="N253" i="12"/>
  <c r="C254" i="12"/>
  <c r="M254" i="12"/>
  <c r="O254" i="12"/>
  <c r="AO254" i="12"/>
  <c r="AX256" i="6"/>
  <c r="AM256" i="6"/>
  <c r="BB256" i="6"/>
  <c r="AC256" i="6"/>
  <c r="AI256" i="6"/>
  <c r="AG256" i="6"/>
  <c r="AU256" i="6"/>
  <c r="AK256" i="6"/>
  <c r="AE256" i="6"/>
  <c r="AN256" i="6"/>
  <c r="AZ256" i="6"/>
  <c r="AO256" i="6"/>
  <c r="BC256" i="6"/>
  <c r="AF256" i="6"/>
  <c r="AH256" i="6"/>
  <c r="E253" i="6"/>
  <c r="D253" i="12"/>
  <c r="K257" i="12"/>
  <c r="B259" i="5"/>
  <c r="K259" i="5"/>
  <c r="J259" i="5"/>
  <c r="H259" i="5"/>
  <c r="B259" i="6"/>
  <c r="C260" i="5"/>
  <c r="G259" i="5"/>
  <c r="N259" i="5"/>
  <c r="F259" i="5"/>
  <c r="A259" i="12"/>
  <c r="W259" i="5"/>
  <c r="H259" i="12" s="1"/>
  <c r="R259" i="5"/>
  <c r="AE259" i="5"/>
  <c r="D259" i="5"/>
  <c r="B259" i="12" s="1"/>
  <c r="AD259" i="5"/>
  <c r="E259" i="5"/>
  <c r="V252" i="12"/>
  <c r="T252" i="12"/>
  <c r="U252" i="12"/>
  <c r="AF260" i="5"/>
  <c r="Y254" i="12" l="1"/>
  <c r="X254" i="12" s="1"/>
  <c r="AQ257" i="6"/>
  <c r="AR257" i="6"/>
  <c r="AG260" i="5"/>
  <c r="S260" i="5"/>
  <c r="F260" i="12" s="1"/>
  <c r="AC257" i="6"/>
  <c r="AV257" i="6"/>
  <c r="BE257" i="6"/>
  <c r="AK257" i="6"/>
  <c r="X253" i="12"/>
  <c r="AM257" i="6"/>
  <c r="AY257" i="6"/>
  <c r="AS257" i="6"/>
  <c r="BF257" i="6"/>
  <c r="BB257" i="6"/>
  <c r="BC257" i="6"/>
  <c r="AB257" i="6"/>
  <c r="AH257" i="6"/>
  <c r="AJ257" i="6"/>
  <c r="AG257" i="6"/>
  <c r="AF257" i="6"/>
  <c r="BD257" i="6"/>
  <c r="AX257" i="6"/>
  <c r="AI257" i="6"/>
  <c r="AN257" i="6"/>
  <c r="AE257" i="6"/>
  <c r="AU257" i="6"/>
  <c r="AO257" i="6"/>
  <c r="BA257" i="6"/>
  <c r="AZ257" i="6"/>
  <c r="AP257" i="6"/>
  <c r="AT257" i="6"/>
  <c r="AD257" i="6"/>
  <c r="E259" i="12"/>
  <c r="F259" i="6"/>
  <c r="J259" i="12"/>
  <c r="L259" i="12"/>
  <c r="D259" i="6"/>
  <c r="B260" i="6"/>
  <c r="G260" i="5"/>
  <c r="F260" i="5"/>
  <c r="AD260" i="5"/>
  <c r="E260" i="5"/>
  <c r="C261" i="5"/>
  <c r="AE260" i="5"/>
  <c r="H260" i="5"/>
  <c r="B260" i="5"/>
  <c r="R260" i="5"/>
  <c r="W260" i="5"/>
  <c r="H260" i="12" s="1"/>
  <c r="N260" i="5"/>
  <c r="K260" i="5"/>
  <c r="D260" i="5"/>
  <c r="B260" i="12" s="1"/>
  <c r="A260" i="12"/>
  <c r="J260" i="5"/>
  <c r="C255" i="12"/>
  <c r="O255" i="12"/>
  <c r="M255" i="12"/>
  <c r="AO255" i="12"/>
  <c r="G258" i="6"/>
  <c r="H258" i="6"/>
  <c r="T258" i="5" s="1"/>
  <c r="L256" i="5"/>
  <c r="I256" i="12"/>
  <c r="AM256" i="5"/>
  <c r="Z256" i="5"/>
  <c r="AC256" i="5"/>
  <c r="D254" i="12"/>
  <c r="E254" i="6"/>
  <c r="N254" i="12"/>
  <c r="AA255" i="5"/>
  <c r="AB255" i="5"/>
  <c r="C255" i="6"/>
  <c r="O255" i="5"/>
  <c r="A258" i="6"/>
  <c r="K258" i="12"/>
  <c r="G257" i="12"/>
  <c r="X257" i="5"/>
  <c r="T253" i="12"/>
  <c r="U253" i="12"/>
  <c r="V253" i="12"/>
  <c r="AF261" i="5"/>
  <c r="W254" i="12" l="1"/>
  <c r="U254" i="12" s="1"/>
  <c r="Y255" i="12"/>
  <c r="X255" i="12" s="1"/>
  <c r="K259" i="12"/>
  <c r="AG261" i="5"/>
  <c r="S261" i="5"/>
  <c r="F261" i="12" s="1"/>
  <c r="A259" i="6"/>
  <c r="C256" i="6"/>
  <c r="O256" i="5"/>
  <c r="M258" i="6"/>
  <c r="AD258" i="6" s="1"/>
  <c r="D260" i="6"/>
  <c r="F260" i="6"/>
  <c r="E260" i="12"/>
  <c r="H259" i="6"/>
  <c r="T259" i="5" s="1"/>
  <c r="G259" i="6"/>
  <c r="I257" i="12"/>
  <c r="AM257" i="5"/>
  <c r="L257" i="5"/>
  <c r="Z257" i="5"/>
  <c r="AC257" i="5"/>
  <c r="D255" i="12"/>
  <c r="E255" i="6"/>
  <c r="AA256" i="5"/>
  <c r="AB256" i="5"/>
  <c r="C256" i="12"/>
  <c r="M256" i="12"/>
  <c r="AO256" i="12"/>
  <c r="O256" i="12"/>
  <c r="G258" i="12"/>
  <c r="X258" i="5"/>
  <c r="N255" i="12"/>
  <c r="L260" i="12"/>
  <c r="J260" i="12"/>
  <c r="C262" i="5"/>
  <c r="F261" i="5"/>
  <c r="D261" i="5"/>
  <c r="B261" i="12" s="1"/>
  <c r="B261" i="5"/>
  <c r="AD261" i="5"/>
  <c r="E261" i="5"/>
  <c r="J261" i="5"/>
  <c r="AE261" i="5"/>
  <c r="W261" i="5"/>
  <c r="H261" i="12" s="1"/>
  <c r="H261" i="5"/>
  <c r="B261" i="6"/>
  <c r="G261" i="5"/>
  <c r="N261" i="5"/>
  <c r="K261" i="5"/>
  <c r="R261" i="5"/>
  <c r="A261" i="12"/>
  <c r="AF262" i="5"/>
  <c r="V254" i="12" l="1"/>
  <c r="T254" i="12"/>
  <c r="W255" i="12"/>
  <c r="T255" i="12" s="1"/>
  <c r="N256" i="12"/>
  <c r="M259" i="6"/>
  <c r="AJ259" i="6" s="1"/>
  <c r="A260" i="6"/>
  <c r="AJ258" i="6"/>
  <c r="AG262" i="5"/>
  <c r="S262" i="5"/>
  <c r="F262" i="12" s="1"/>
  <c r="K260" i="12"/>
  <c r="J261" i="12"/>
  <c r="L261" i="12"/>
  <c r="L258" i="5"/>
  <c r="AM258" i="5"/>
  <c r="I258" i="12"/>
  <c r="Z258" i="5"/>
  <c r="AC258" i="5"/>
  <c r="G260" i="6"/>
  <c r="H260" i="6"/>
  <c r="T260" i="5" s="1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E261" i="12"/>
  <c r="F261" i="6"/>
  <c r="D261" i="6"/>
  <c r="D262" i="5"/>
  <c r="B262" i="12" s="1"/>
  <c r="W262" i="5"/>
  <c r="H262" i="12" s="1"/>
  <c r="K262" i="5"/>
  <c r="C263" i="5"/>
  <c r="B262" i="5"/>
  <c r="E262" i="5"/>
  <c r="F262" i="5"/>
  <c r="A262" i="12"/>
  <c r="J262" i="5"/>
  <c r="H262" i="5"/>
  <c r="B262" i="6"/>
  <c r="R262" i="5"/>
  <c r="AD262" i="5"/>
  <c r="N262" i="5"/>
  <c r="AE262" i="5"/>
  <c r="G262" i="5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F263" i="5"/>
  <c r="V255" i="12" l="1"/>
  <c r="U255" i="12"/>
  <c r="AD259" i="6"/>
  <c r="A261" i="6"/>
  <c r="M261" i="6" s="1"/>
  <c r="BA261" i="6" s="1"/>
  <c r="BD259" i="6"/>
  <c r="AC259" i="6"/>
  <c r="AP259" i="6"/>
  <c r="N257" i="12"/>
  <c r="BG259" i="6"/>
  <c r="AU259" i="6"/>
  <c r="AV259" i="6"/>
  <c r="M260" i="6"/>
  <c r="AZ260" i="6" s="1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K261" i="12"/>
  <c r="BB259" i="6"/>
  <c r="AG263" i="5"/>
  <c r="S263" i="5"/>
  <c r="F263" i="12" s="1"/>
  <c r="D257" i="12"/>
  <c r="E257" i="6"/>
  <c r="W256" i="12"/>
  <c r="X256" i="12"/>
  <c r="L259" i="5"/>
  <c r="AM259" i="5"/>
  <c r="I259" i="12"/>
  <c r="Z259" i="5"/>
  <c r="AC259" i="5"/>
  <c r="Y257" i="12"/>
  <c r="D262" i="6"/>
  <c r="F262" i="6"/>
  <c r="E262" i="12"/>
  <c r="J262" i="12"/>
  <c r="L262" i="12"/>
  <c r="AD263" i="5"/>
  <c r="J263" i="5"/>
  <c r="G263" i="5"/>
  <c r="E263" i="5"/>
  <c r="AE263" i="5"/>
  <c r="H263" i="5"/>
  <c r="B263" i="6"/>
  <c r="B263" i="5"/>
  <c r="A263" i="12"/>
  <c r="K263" i="5"/>
  <c r="N263" i="5"/>
  <c r="F263" i="5"/>
  <c r="W263" i="5"/>
  <c r="H263" i="12" s="1"/>
  <c r="D263" i="5"/>
  <c r="B263" i="12" s="1"/>
  <c r="C264" i="5"/>
  <c r="R263" i="5"/>
  <c r="G261" i="6"/>
  <c r="H261" i="6"/>
  <c r="T261" i="5" s="1"/>
  <c r="G260" i="12"/>
  <c r="X260" i="5"/>
  <c r="AA258" i="5"/>
  <c r="AB258" i="5"/>
  <c r="C258" i="12"/>
  <c r="M258" i="12"/>
  <c r="O258" i="12"/>
  <c r="AO258" i="12"/>
  <c r="C258" i="6"/>
  <c r="O258" i="5"/>
  <c r="AF264" i="5"/>
  <c r="AC260" i="6" l="1"/>
  <c r="AD260" i="6"/>
  <c r="AH260" i="6"/>
  <c r="BA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BD261" i="6"/>
  <c r="AV261" i="6"/>
  <c r="AP261" i="6"/>
  <c r="S264" i="5"/>
  <c r="F264" i="12" s="1"/>
  <c r="AG264" i="5"/>
  <c r="AR261" i="6"/>
  <c r="BF261" i="6"/>
  <c r="BC261" i="6"/>
  <c r="AH261" i="6"/>
  <c r="AM261" i="6"/>
  <c r="BB261" i="6"/>
  <c r="N258" i="12"/>
  <c r="AO261" i="6"/>
  <c r="AX261" i="6"/>
  <c r="AU261" i="6"/>
  <c r="AQ261" i="6"/>
  <c r="G261" i="12"/>
  <c r="X261" i="5"/>
  <c r="AI261" i="6"/>
  <c r="AK261" i="6"/>
  <c r="AE261" i="6"/>
  <c r="AG261" i="6"/>
  <c r="F264" i="5"/>
  <c r="N264" i="5"/>
  <c r="H264" i="5"/>
  <c r="E264" i="5"/>
  <c r="C265" i="5"/>
  <c r="B264" i="6"/>
  <c r="G264" i="5"/>
  <c r="AD264" i="5"/>
  <c r="B264" i="5"/>
  <c r="AE264" i="5"/>
  <c r="W264" i="5"/>
  <c r="H264" i="12" s="1"/>
  <c r="A264" i="12"/>
  <c r="D264" i="5"/>
  <c r="B264" i="12" s="1"/>
  <c r="K264" i="5"/>
  <c r="R264" i="5"/>
  <c r="J264" i="5"/>
  <c r="D263" i="6"/>
  <c r="J263" i="12"/>
  <c r="L263" i="12"/>
  <c r="G262" i="6"/>
  <c r="H262" i="6"/>
  <c r="T262" i="5" s="1"/>
  <c r="D258" i="12"/>
  <c r="E258" i="6"/>
  <c r="Y258" i="12"/>
  <c r="L260" i="5"/>
  <c r="AM260" i="5"/>
  <c r="I260" i="12"/>
  <c r="Z260" i="5"/>
  <c r="AC260" i="5"/>
  <c r="AB261" i="6"/>
  <c r="AD261" i="6"/>
  <c r="BE261" i="6"/>
  <c r="AZ261" i="6"/>
  <c r="AF261" i="6"/>
  <c r="AJ261" i="6"/>
  <c r="BG261" i="6"/>
  <c r="AS261" i="6"/>
  <c r="AC261" i="6"/>
  <c r="AY261" i="6"/>
  <c r="AN261" i="6"/>
  <c r="AT261" i="6"/>
  <c r="E263" i="12"/>
  <c r="F263" i="6"/>
  <c r="K262" i="12"/>
  <c r="W257" i="12"/>
  <c r="X257" i="12"/>
  <c r="AB259" i="5"/>
  <c r="AA259" i="5"/>
  <c r="C259" i="12"/>
  <c r="M259" i="12"/>
  <c r="AO259" i="12"/>
  <c r="O259" i="12"/>
  <c r="C259" i="6"/>
  <c r="O259" i="5"/>
  <c r="A262" i="6"/>
  <c r="U256" i="12"/>
  <c r="T256" i="12"/>
  <c r="V256" i="12"/>
  <c r="AF265" i="5"/>
  <c r="N259" i="12" l="1"/>
  <c r="A263" i="6"/>
  <c r="M263" i="6" s="1"/>
  <c r="AM263" i="6" s="1"/>
  <c r="AG265" i="5"/>
  <c r="S265" i="5"/>
  <c r="F265" i="12" s="1"/>
  <c r="M262" i="6"/>
  <c r="AH262" i="6" s="1"/>
  <c r="K263" i="12"/>
  <c r="D259" i="12"/>
  <c r="E259" i="6"/>
  <c r="W258" i="12"/>
  <c r="X258" i="12"/>
  <c r="F264" i="6"/>
  <c r="E264" i="12"/>
  <c r="L264" i="12"/>
  <c r="J264" i="12"/>
  <c r="D264" i="6"/>
  <c r="AM261" i="5"/>
  <c r="I261" i="12"/>
  <c r="L261" i="5"/>
  <c r="Z261" i="5"/>
  <c r="AC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H263" i="6"/>
  <c r="T263" i="5" s="1"/>
  <c r="G263" i="6"/>
  <c r="D265" i="5"/>
  <c r="B265" i="12" s="1"/>
  <c r="AD265" i="5"/>
  <c r="K265" i="5"/>
  <c r="AE265" i="5"/>
  <c r="B265" i="5"/>
  <c r="A265" i="12"/>
  <c r="H265" i="5"/>
  <c r="J265" i="5"/>
  <c r="R265" i="5"/>
  <c r="G265" i="5"/>
  <c r="F265" i="5"/>
  <c r="J75" i="5" s="1"/>
  <c r="D75" i="5" s="1"/>
  <c r="E265" i="5"/>
  <c r="N265" i="5"/>
  <c r="W265" i="5"/>
  <c r="H265" i="12" s="1"/>
  <c r="B265" i="6"/>
  <c r="A5" i="5"/>
  <c r="B75" i="12" l="1"/>
  <c r="X75" i="5"/>
  <c r="K118" i="5"/>
  <c r="J118" i="5"/>
  <c r="K101" i="5"/>
  <c r="J101" i="5"/>
  <c r="J93" i="5"/>
  <c r="K93" i="5"/>
  <c r="K85" i="5"/>
  <c r="J85" i="5"/>
  <c r="K77" i="5"/>
  <c r="J77" i="5"/>
  <c r="K69" i="5"/>
  <c r="J69" i="5"/>
  <c r="K60" i="5"/>
  <c r="J60" i="5"/>
  <c r="AF262" i="6"/>
  <c r="J50" i="5"/>
  <c r="K50" i="5"/>
  <c r="K38" i="5"/>
  <c r="J38" i="5"/>
  <c r="O18" i="5"/>
  <c r="D18" i="12" s="1"/>
  <c r="J24" i="5"/>
  <c r="K24" i="5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E263" i="6"/>
  <c r="AH263" i="6"/>
  <c r="AY263" i="6"/>
  <c r="AN263" i="6"/>
  <c r="BG263" i="6"/>
  <c r="AO263" i="6"/>
  <c r="BC262" i="6"/>
  <c r="BE262" i="6"/>
  <c r="AC262" i="6"/>
  <c r="AX262" i="6"/>
  <c r="AN262" i="6"/>
  <c r="AZ262" i="6"/>
  <c r="AV262" i="6"/>
  <c r="AM262" i="6"/>
  <c r="AO262" i="6"/>
  <c r="BB262" i="6"/>
  <c r="AP262" i="6"/>
  <c r="AC263" i="6"/>
  <c r="AF263" i="6"/>
  <c r="J16" i="5"/>
  <c r="B18" i="11"/>
  <c r="A16" i="13"/>
  <c r="B19" i="11"/>
  <c r="A17" i="13"/>
  <c r="A19" i="13"/>
  <c r="B12" i="11"/>
  <c r="A18" i="13"/>
  <c r="A15" i="13"/>
  <c r="A12" i="13"/>
  <c r="A20" i="13"/>
  <c r="B17" i="11"/>
  <c r="A23" i="13"/>
  <c r="A21" i="13"/>
  <c r="A22" i="13"/>
  <c r="K16" i="5"/>
  <c r="B22" i="11"/>
  <c r="B15" i="11"/>
  <c r="B21" i="11"/>
  <c r="B23" i="11"/>
  <c r="B16" i="11"/>
  <c r="B20" i="11"/>
  <c r="K17" i="5"/>
  <c r="J17" i="5"/>
  <c r="K22" i="5"/>
  <c r="J22" i="5"/>
  <c r="J32" i="5"/>
  <c r="K32" i="5"/>
  <c r="J43" i="5"/>
  <c r="K43" i="5"/>
  <c r="K53" i="5"/>
  <c r="J53" i="5"/>
  <c r="J66" i="5"/>
  <c r="D66" i="5" s="1"/>
  <c r="J74" i="5"/>
  <c r="K74" i="5"/>
  <c r="E265" i="12"/>
  <c r="F265" i="6"/>
  <c r="L265" i="12"/>
  <c r="J265" i="12"/>
  <c r="E101" i="8"/>
  <c r="E92" i="8"/>
  <c r="E83" i="8"/>
  <c r="E26" i="8"/>
  <c r="E125" i="8"/>
  <c r="E110" i="8"/>
  <c r="E50" i="8"/>
  <c r="E47" i="8"/>
  <c r="E56" i="8"/>
  <c r="E77" i="8"/>
  <c r="E29" i="8"/>
  <c r="E131" i="8"/>
  <c r="E74" i="8"/>
  <c r="E104" i="8"/>
  <c r="E23" i="8"/>
  <c r="E68" i="8"/>
  <c r="E152" i="8"/>
  <c r="E53" i="8"/>
  <c r="E89" i="8"/>
  <c r="E146" i="8"/>
  <c r="E113" i="8"/>
  <c r="E35" i="8"/>
  <c r="E59" i="8"/>
  <c r="E134" i="8"/>
  <c r="E119" i="8"/>
  <c r="E122" i="8"/>
  <c r="E116" i="8"/>
  <c r="E20" i="8"/>
  <c r="E65" i="8"/>
  <c r="E95" i="8"/>
  <c r="E143" i="8"/>
  <c r="E98" i="8"/>
  <c r="E161" i="8"/>
  <c r="E137" i="8"/>
  <c r="E32" i="8"/>
  <c r="E149" i="8"/>
  <c r="E62" i="8"/>
  <c r="E128" i="8"/>
  <c r="E140" i="8"/>
  <c r="E107" i="8"/>
  <c r="E86" i="8"/>
  <c r="E80" i="8"/>
  <c r="E38" i="8"/>
  <c r="E44" i="8"/>
  <c r="E1" i="8"/>
  <c r="E2" i="8" s="1"/>
  <c r="E41" i="8"/>
  <c r="E155" i="8"/>
  <c r="E158" i="8"/>
  <c r="E17" i="8"/>
  <c r="E18" i="8" s="1"/>
  <c r="E14" i="8"/>
  <c r="E15" i="8" s="1"/>
  <c r="E71" i="8"/>
  <c r="AP263" i="6"/>
  <c r="AQ263" i="6"/>
  <c r="BB263" i="6"/>
  <c r="BD263" i="6"/>
  <c r="AJ263" i="6"/>
  <c r="AK263" i="6"/>
  <c r="AD263" i="6"/>
  <c r="AT263" i="6"/>
  <c r="L262" i="5"/>
  <c r="AM262" i="5"/>
  <c r="I262" i="12"/>
  <c r="Z262" i="5"/>
  <c r="AC262" i="5"/>
  <c r="D260" i="12"/>
  <c r="E260" i="6"/>
  <c r="N260" i="12"/>
  <c r="C261" i="12"/>
  <c r="AO261" i="12"/>
  <c r="O261" i="12"/>
  <c r="M261" i="12"/>
  <c r="H264" i="6"/>
  <c r="T264" i="5" s="1"/>
  <c r="G264" i="6"/>
  <c r="A264" i="6"/>
  <c r="M264" i="6" s="1"/>
  <c r="D265" i="6"/>
  <c r="AU263" i="6"/>
  <c r="BA263" i="6"/>
  <c r="AI263" i="6"/>
  <c r="BF263" i="6"/>
  <c r="AZ263" i="6"/>
  <c r="AB263" i="6"/>
  <c r="AS263" i="6"/>
  <c r="BC263" i="6"/>
  <c r="AR263" i="6"/>
  <c r="AX263" i="6"/>
  <c r="AV263" i="6"/>
  <c r="AE263" i="6"/>
  <c r="AG263" i="6"/>
  <c r="G263" i="12"/>
  <c r="X263" i="5"/>
  <c r="Y260" i="12"/>
  <c r="X259" i="12"/>
  <c r="W259" i="12"/>
  <c r="AB261" i="5"/>
  <c r="AA261" i="5"/>
  <c r="C261" i="6"/>
  <c r="O261" i="5"/>
  <c r="K264" i="12"/>
  <c r="V258" i="12"/>
  <c r="T258" i="12"/>
  <c r="U258" i="12"/>
  <c r="L75" i="5" l="1"/>
  <c r="AM75" i="5"/>
  <c r="Z75" i="5"/>
  <c r="I75" i="12"/>
  <c r="AO75" i="12" s="1"/>
  <c r="D118" i="5"/>
  <c r="B118" i="12" s="1"/>
  <c r="D101" i="5"/>
  <c r="B101" i="12" s="1"/>
  <c r="D93" i="5"/>
  <c r="B93" i="12" s="1"/>
  <c r="D77" i="5"/>
  <c r="B77" i="12" s="1"/>
  <c r="D85" i="5"/>
  <c r="D69" i="5"/>
  <c r="B69" i="12" s="1"/>
  <c r="D60" i="5"/>
  <c r="B60" i="12" s="1"/>
  <c r="D50" i="5"/>
  <c r="B50" i="12" s="1"/>
  <c r="D38" i="5"/>
  <c r="B38" i="12" s="1"/>
  <c r="E18" i="6"/>
  <c r="D24" i="5"/>
  <c r="B24" i="12" s="1"/>
  <c r="AO21" i="13"/>
  <c r="AL21" i="13"/>
  <c r="AL12" i="13"/>
  <c r="AO12" i="13"/>
  <c r="AO18" i="13"/>
  <c r="AL18" i="13"/>
  <c r="AO19" i="13"/>
  <c r="AL19" i="13"/>
  <c r="AO22" i="13"/>
  <c r="AL22" i="13"/>
  <c r="AO23" i="13"/>
  <c r="AL23" i="13"/>
  <c r="AO20" i="13"/>
  <c r="AL20" i="13"/>
  <c r="AO17" i="13"/>
  <c r="AL17" i="13"/>
  <c r="AO16" i="13"/>
  <c r="AL16" i="13"/>
  <c r="Y261" i="12"/>
  <c r="W261" i="12" s="1"/>
  <c r="A265" i="6"/>
  <c r="M265" i="6" s="1"/>
  <c r="K265" i="12"/>
  <c r="D43" i="5"/>
  <c r="B43" i="12" s="1"/>
  <c r="D32" i="5"/>
  <c r="B32" i="12" s="1"/>
  <c r="D16" i="5"/>
  <c r="B14" i="13" s="1"/>
  <c r="AX264" i="6"/>
  <c r="AD264" i="6"/>
  <c r="AR264" i="6"/>
  <c r="BB264" i="6"/>
  <c r="AN264" i="6"/>
  <c r="AO264" i="6"/>
  <c r="AJ264" i="6"/>
  <c r="BD264" i="6"/>
  <c r="AC264" i="6"/>
  <c r="AT264" i="6"/>
  <c r="AG264" i="6"/>
  <c r="AQ264" i="6"/>
  <c r="AU264" i="6"/>
  <c r="AS264" i="6"/>
  <c r="BF264" i="6"/>
  <c r="BC264" i="6"/>
  <c r="AB264" i="6"/>
  <c r="AP264" i="6"/>
  <c r="BA264" i="6"/>
  <c r="AF264" i="6"/>
  <c r="AK264" i="6"/>
  <c r="AY264" i="6"/>
  <c r="AI264" i="6"/>
  <c r="AM264" i="6"/>
  <c r="AE264" i="6"/>
  <c r="AZ264" i="6"/>
  <c r="AV264" i="6"/>
  <c r="BE264" i="6"/>
  <c r="BG264" i="6"/>
  <c r="AH264" i="6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L14" i="8"/>
  <c r="O14" i="8" s="1"/>
  <c r="I14" i="8"/>
  <c r="G20" i="11"/>
  <c r="F20" i="13" s="1"/>
  <c r="AB20" i="11"/>
  <c r="N20" i="11" s="1"/>
  <c r="K20" i="11"/>
  <c r="J20" i="13" s="1"/>
  <c r="O20" i="11"/>
  <c r="AA20" i="11"/>
  <c r="C20" i="13"/>
  <c r="AB23" i="11"/>
  <c r="N23" i="11" s="1"/>
  <c r="AA23" i="11"/>
  <c r="C23" i="13"/>
  <c r="O23" i="11"/>
  <c r="G23" i="11"/>
  <c r="F23" i="13" s="1"/>
  <c r="K23" i="11"/>
  <c r="J23" i="13" s="1"/>
  <c r="K15" i="11"/>
  <c r="J15" i="13" s="1"/>
  <c r="G15" i="11"/>
  <c r="F15" i="13" s="1"/>
  <c r="C15" i="13"/>
  <c r="B21" i="13"/>
  <c r="AH21" i="13" s="1"/>
  <c r="C17" i="13"/>
  <c r="G17" i="11"/>
  <c r="F17" i="13" s="1"/>
  <c r="AB17" i="11"/>
  <c r="N17" i="11" s="1"/>
  <c r="O17" i="11"/>
  <c r="AA17" i="11"/>
  <c r="K17" i="11"/>
  <c r="J17" i="13" s="1"/>
  <c r="B12" i="13"/>
  <c r="AH12" i="13" s="1"/>
  <c r="B18" i="13"/>
  <c r="AH18" i="13" s="1"/>
  <c r="B19" i="13"/>
  <c r="AG19" i="13" s="1"/>
  <c r="AB19" i="11"/>
  <c r="N19" i="11" s="1"/>
  <c r="G19" i="11"/>
  <c r="F19" i="13" s="1"/>
  <c r="O19" i="11"/>
  <c r="C19" i="13"/>
  <c r="K19" i="11"/>
  <c r="J19" i="13" s="1"/>
  <c r="AA19" i="11"/>
  <c r="K18" i="11"/>
  <c r="J18" i="13" s="1"/>
  <c r="AB18" i="11"/>
  <c r="N18" i="11" s="1"/>
  <c r="C18" i="13"/>
  <c r="G18" i="11"/>
  <c r="F18" i="13" s="1"/>
  <c r="O18" i="11"/>
  <c r="AA18" i="11"/>
  <c r="AM263" i="5"/>
  <c r="L263" i="5"/>
  <c r="I263" i="12"/>
  <c r="Z263" i="5"/>
  <c r="AC263" i="5"/>
  <c r="G265" i="6"/>
  <c r="H265" i="6"/>
  <c r="T265" i="5" s="1"/>
  <c r="G264" i="12"/>
  <c r="X264" i="5"/>
  <c r="N261" i="12"/>
  <c r="AB262" i="5"/>
  <c r="AA262" i="5"/>
  <c r="L17" i="8"/>
  <c r="I17" i="8"/>
  <c r="O1" i="8"/>
  <c r="H1" i="8"/>
  <c r="R1" i="8"/>
  <c r="F1" i="8" s="1"/>
  <c r="P1" i="8"/>
  <c r="M1" i="8"/>
  <c r="I1" i="8"/>
  <c r="L1" i="8"/>
  <c r="N1" i="8"/>
  <c r="D74" i="5"/>
  <c r="B15" i="13" s="1"/>
  <c r="AE15" i="13" s="1"/>
  <c r="B66" i="12"/>
  <c r="X66" i="5"/>
  <c r="D53" i="5"/>
  <c r="D22" i="5"/>
  <c r="D17" i="5"/>
  <c r="O16" i="11"/>
  <c r="K16" i="11"/>
  <c r="J16" i="13" s="1"/>
  <c r="AB16" i="11"/>
  <c r="N16" i="11" s="1"/>
  <c r="AA16" i="11"/>
  <c r="G16" i="11"/>
  <c r="F16" i="13" s="1"/>
  <c r="C16" i="13"/>
  <c r="C21" i="13"/>
  <c r="AB21" i="11"/>
  <c r="N21" i="11" s="1"/>
  <c r="K21" i="11"/>
  <c r="J21" i="13" s="1"/>
  <c r="O21" i="11"/>
  <c r="AA21" i="11"/>
  <c r="G21" i="11"/>
  <c r="F21" i="13" s="1"/>
  <c r="AB22" i="11"/>
  <c r="N22" i="11" s="1"/>
  <c r="AA22" i="11"/>
  <c r="O22" i="11"/>
  <c r="K22" i="11"/>
  <c r="J22" i="13" s="1"/>
  <c r="G22" i="11"/>
  <c r="F22" i="13" s="1"/>
  <c r="C22" i="13"/>
  <c r="B22" i="13"/>
  <c r="AH22" i="13" s="1"/>
  <c r="B23" i="13"/>
  <c r="AE23" i="13" s="1"/>
  <c r="B20" i="13"/>
  <c r="AD20" i="13" s="1"/>
  <c r="AA12" i="11"/>
  <c r="C12" i="13"/>
  <c r="O12" i="11"/>
  <c r="K12" i="11"/>
  <c r="J12" i="13" s="1"/>
  <c r="G12" i="11"/>
  <c r="F12" i="13" s="1"/>
  <c r="AB12" i="11"/>
  <c r="N12" i="11" s="1"/>
  <c r="B17" i="13"/>
  <c r="AF17" i="13" s="1"/>
  <c r="B16" i="13"/>
  <c r="AF16" i="13" s="1"/>
  <c r="AB75" i="5" l="1"/>
  <c r="L75" i="12"/>
  <c r="O75" i="12" s="1"/>
  <c r="J75" i="12"/>
  <c r="M75" i="12" s="1"/>
  <c r="C75" i="12"/>
  <c r="C75" i="6"/>
  <c r="B85" i="12"/>
  <c r="X261" i="12"/>
  <c r="B16" i="12"/>
  <c r="F2" i="8"/>
  <c r="AJ16" i="13"/>
  <c r="AN16" i="13"/>
  <c r="AM16" i="13"/>
  <c r="AJ17" i="13"/>
  <c r="AN17" i="13"/>
  <c r="AM17" i="13"/>
  <c r="AJ20" i="13"/>
  <c r="AN20" i="13"/>
  <c r="AM20" i="13"/>
  <c r="AJ23" i="13"/>
  <c r="AN23" i="13"/>
  <c r="AM23" i="13"/>
  <c r="AJ22" i="13"/>
  <c r="AN22" i="13"/>
  <c r="AM22" i="13"/>
  <c r="AJ19" i="13"/>
  <c r="AN19" i="13"/>
  <c r="AM19" i="13"/>
  <c r="AJ18" i="13"/>
  <c r="AN18" i="13"/>
  <c r="AM18" i="13"/>
  <c r="AM12" i="13"/>
  <c r="AJ12" i="13"/>
  <c r="AJ21" i="13"/>
  <c r="AN21" i="13"/>
  <c r="AM21" i="13"/>
  <c r="AK16" i="13"/>
  <c r="AK17" i="13"/>
  <c r="AK20" i="13"/>
  <c r="AK23" i="13"/>
  <c r="AK22" i="13"/>
  <c r="AK19" i="13"/>
  <c r="AK18" i="13"/>
  <c r="AK12" i="13"/>
  <c r="AN12" i="13"/>
  <c r="AK21" i="13"/>
  <c r="E21" i="8"/>
  <c r="AH16" i="13"/>
  <c r="AG16" i="13"/>
  <c r="AD16" i="13"/>
  <c r="AE17" i="13"/>
  <c r="AC23" i="13"/>
  <c r="AC16" i="13"/>
  <c r="AE16" i="13"/>
  <c r="AC17" i="13"/>
  <c r="AD17" i="13"/>
  <c r="AH23" i="13"/>
  <c r="AD23" i="13"/>
  <c r="AE19" i="13"/>
  <c r="X32" i="5"/>
  <c r="X43" i="5"/>
  <c r="I43" i="12" s="1"/>
  <c r="O43" i="12" s="1"/>
  <c r="AC19" i="13"/>
  <c r="AD19" i="13"/>
  <c r="AG18" i="13"/>
  <c r="AE21" i="13"/>
  <c r="AF23" i="13"/>
  <c r="AG23" i="13"/>
  <c r="AG22" i="13"/>
  <c r="AC22" i="13"/>
  <c r="AD22" i="13"/>
  <c r="AX265" i="6"/>
  <c r="BF265" i="6"/>
  <c r="AQ265" i="6"/>
  <c r="AN265" i="6"/>
  <c r="BC265" i="6"/>
  <c r="AR265" i="6"/>
  <c r="AS265" i="6"/>
  <c r="BA265" i="6"/>
  <c r="AH265" i="6"/>
  <c r="AH15" i="6" s="1"/>
  <c r="W15" i="6" s="1"/>
  <c r="AY265" i="6"/>
  <c r="AV265" i="6"/>
  <c r="AZ265" i="6"/>
  <c r="AE18" i="13"/>
  <c r="AE20" i="13"/>
  <c r="AE22" i="13"/>
  <c r="AG265" i="6"/>
  <c r="AG15" i="6" s="1"/>
  <c r="V15" i="6" s="1"/>
  <c r="AF19" i="13"/>
  <c r="AH19" i="13"/>
  <c r="AD18" i="13"/>
  <c r="AC18" i="13"/>
  <c r="AF18" i="13"/>
  <c r="Z12" i="11"/>
  <c r="L12" i="13"/>
  <c r="C12" i="11"/>
  <c r="W12" i="11"/>
  <c r="AC15" i="13"/>
  <c r="AD15" i="13"/>
  <c r="AH20" i="13"/>
  <c r="AF20" i="13"/>
  <c r="Z22" i="11"/>
  <c r="C22" i="11"/>
  <c r="W22" i="11"/>
  <c r="L22" i="13"/>
  <c r="K21" i="13"/>
  <c r="S21" i="13"/>
  <c r="M21" i="13"/>
  <c r="O21" i="13"/>
  <c r="R21" i="13"/>
  <c r="U21" i="13"/>
  <c r="T21" i="13"/>
  <c r="C16" i="11"/>
  <c r="Z16" i="11"/>
  <c r="L16" i="13"/>
  <c r="W16" i="11"/>
  <c r="B22" i="12"/>
  <c r="X22" i="5"/>
  <c r="I22" i="5" s="1"/>
  <c r="I23" i="5" s="1"/>
  <c r="I24" i="5" s="1"/>
  <c r="I25" i="5" s="1"/>
  <c r="B74" i="12"/>
  <c r="Q1" i="8"/>
  <c r="R3" i="8"/>
  <c r="R19" i="8"/>
  <c r="P17" i="8"/>
  <c r="G265" i="12"/>
  <c r="X265" i="5"/>
  <c r="AK265" i="6"/>
  <c r="AK15" i="6" s="1"/>
  <c r="Z15" i="6" s="1"/>
  <c r="AB265" i="6"/>
  <c r="AB15" i="6" s="1"/>
  <c r="Q15" i="6" s="1"/>
  <c r="AF265" i="6"/>
  <c r="AF15" i="6" s="1"/>
  <c r="U15" i="6" s="1"/>
  <c r="AA263" i="5"/>
  <c r="AB263" i="5"/>
  <c r="C263" i="12"/>
  <c r="AO263" i="12"/>
  <c r="O263" i="12"/>
  <c r="M263" i="12"/>
  <c r="C18" i="11"/>
  <c r="Z18" i="11"/>
  <c r="W18" i="11"/>
  <c r="L18" i="13"/>
  <c r="O18" i="13"/>
  <c r="S18" i="13"/>
  <c r="U18" i="13"/>
  <c r="T18" i="13"/>
  <c r="R18" i="13"/>
  <c r="M18" i="13"/>
  <c r="K18" i="13"/>
  <c r="L19" i="13"/>
  <c r="W19" i="11"/>
  <c r="C19" i="11"/>
  <c r="Z19" i="11"/>
  <c r="AC12" i="13"/>
  <c r="AF12" i="13"/>
  <c r="W17" i="11"/>
  <c r="L17" i="13"/>
  <c r="C17" i="11"/>
  <c r="Z17" i="11"/>
  <c r="AD21" i="13"/>
  <c r="AF21" i="13"/>
  <c r="K15" i="13"/>
  <c r="Z23" i="11"/>
  <c r="C23" i="11"/>
  <c r="W23" i="11"/>
  <c r="L23" i="13"/>
  <c r="U20" i="13"/>
  <c r="K20" i="13"/>
  <c r="M20" i="13"/>
  <c r="T20" i="13"/>
  <c r="S20" i="13"/>
  <c r="R20" i="13"/>
  <c r="O20" i="13"/>
  <c r="C20" i="11"/>
  <c r="Z20" i="11"/>
  <c r="W20" i="11"/>
  <c r="L20" i="13"/>
  <c r="R16" i="8"/>
  <c r="V260" i="12"/>
  <c r="T260" i="12"/>
  <c r="U260" i="12"/>
  <c r="AG17" i="13"/>
  <c r="AH17" i="13"/>
  <c r="M12" i="13"/>
  <c r="R12" i="13"/>
  <c r="U12" i="13"/>
  <c r="K12" i="13"/>
  <c r="O12" i="13"/>
  <c r="T12" i="13"/>
  <c r="S12" i="13"/>
  <c r="AF15" i="13"/>
  <c r="AG15" i="13"/>
  <c r="AH15" i="13"/>
  <c r="AC20" i="13"/>
  <c r="AG20" i="13"/>
  <c r="AF22" i="13"/>
  <c r="O22" i="13"/>
  <c r="R22" i="13"/>
  <c r="K22" i="13"/>
  <c r="U22" i="13"/>
  <c r="M22" i="13"/>
  <c r="T22" i="13"/>
  <c r="S22" i="13"/>
  <c r="W21" i="11"/>
  <c r="C21" i="11"/>
  <c r="L21" i="13"/>
  <c r="Z21" i="11"/>
  <c r="K16" i="13"/>
  <c r="M16" i="13"/>
  <c r="U16" i="13"/>
  <c r="T16" i="13"/>
  <c r="O16" i="13"/>
  <c r="S16" i="13"/>
  <c r="R16" i="13"/>
  <c r="B17" i="12"/>
  <c r="B53" i="12"/>
  <c r="X53" i="5"/>
  <c r="I66" i="12"/>
  <c r="O66" i="12" s="1"/>
  <c r="AM66" i="5"/>
  <c r="L66" i="5"/>
  <c r="Z66" i="5"/>
  <c r="AC66" i="5"/>
  <c r="G2" i="8"/>
  <c r="G1" i="8"/>
  <c r="I2" i="8" s="1"/>
  <c r="O17" i="8"/>
  <c r="AM264" i="5"/>
  <c r="L264" i="5"/>
  <c r="I264" i="12"/>
  <c r="Z264" i="5"/>
  <c r="AC264" i="5"/>
  <c r="AI265" i="6"/>
  <c r="AI15" i="6" s="1"/>
  <c r="X15" i="6" s="1"/>
  <c r="AD265" i="6"/>
  <c r="AD15" i="6" s="1"/>
  <c r="S15" i="6" s="1"/>
  <c r="C35" i="10"/>
  <c r="A16" i="10"/>
  <c r="A27" i="10"/>
  <c r="A48" i="9"/>
  <c r="A29" i="10"/>
  <c r="C55" i="10"/>
  <c r="C49" i="9"/>
  <c r="C63" i="10"/>
  <c r="A50" i="9"/>
  <c r="A56" i="9"/>
  <c r="A57" i="9"/>
  <c r="A57" i="10"/>
  <c r="A35" i="9"/>
  <c r="C62" i="10"/>
  <c r="A30" i="9"/>
  <c r="C39" i="10"/>
  <c r="C60" i="10"/>
  <c r="C55" i="9"/>
  <c r="A24" i="9"/>
  <c r="A61" i="9"/>
  <c r="A60" i="10"/>
  <c r="A23" i="9"/>
  <c r="C33" i="9"/>
  <c r="C50" i="10"/>
  <c r="A39" i="10"/>
  <c r="C32" i="10"/>
  <c r="C41" i="9"/>
  <c r="C63" i="9"/>
  <c r="C50" i="9"/>
  <c r="A21" i="9"/>
  <c r="A53" i="10"/>
  <c r="A21" i="10"/>
  <c r="A45" i="9"/>
  <c r="A63" i="10"/>
  <c r="C59" i="9"/>
  <c r="A62" i="9"/>
  <c r="C58" i="9"/>
  <c r="A28" i="10"/>
  <c r="C47" i="10"/>
  <c r="A31" i="10"/>
  <c r="A59" i="9"/>
  <c r="A32" i="9"/>
  <c r="C35" i="9"/>
  <c r="C16" i="10"/>
  <c r="C39" i="9"/>
  <c r="A56" i="10"/>
  <c r="C31" i="10"/>
  <c r="C52" i="10"/>
  <c r="A55" i="9"/>
  <c r="A52" i="9"/>
  <c r="A43" i="9"/>
  <c r="A63" i="9"/>
  <c r="A46" i="10"/>
  <c r="C29" i="9"/>
  <c r="A64" i="10"/>
  <c r="C59" i="10"/>
  <c r="A64" i="9"/>
  <c r="A50" i="10"/>
  <c r="C64" i="10"/>
  <c r="C62" i="9"/>
  <c r="C34" i="10"/>
  <c r="C57" i="9"/>
  <c r="C41" i="10"/>
  <c r="C44" i="9"/>
  <c r="C49" i="10"/>
  <c r="A25" i="9"/>
  <c r="A32" i="10"/>
  <c r="A33" i="9"/>
  <c r="A31" i="9"/>
  <c r="C43" i="10"/>
  <c r="C46" i="9"/>
  <c r="A29" i="9"/>
  <c r="A47" i="9"/>
  <c r="C40" i="9"/>
  <c r="C44" i="10"/>
  <c r="C42" i="9"/>
  <c r="A18" i="10"/>
  <c r="A30" i="10"/>
  <c r="A40" i="9"/>
  <c r="A26" i="10"/>
  <c r="A47" i="10"/>
  <c r="C54" i="9"/>
  <c r="A49" i="9"/>
  <c r="C60" i="9"/>
  <c r="C38" i="9"/>
  <c r="A55" i="10"/>
  <c r="A22" i="10"/>
  <c r="C56" i="9"/>
  <c r="C38" i="10"/>
  <c r="C42" i="10"/>
  <c r="A62" i="10"/>
  <c r="A40" i="10"/>
  <c r="A41" i="10"/>
  <c r="A54" i="9"/>
  <c r="A20" i="10"/>
  <c r="C36" i="9"/>
  <c r="A49" i="10"/>
  <c r="A58" i="10"/>
  <c r="A34" i="10"/>
  <c r="A41" i="9"/>
  <c r="A23" i="10"/>
  <c r="A39" i="9"/>
  <c r="A20" i="9"/>
  <c r="C51" i="9"/>
  <c r="A28" i="9"/>
  <c r="A1" i="10"/>
  <c r="C45" i="9"/>
  <c r="C54" i="10"/>
  <c r="A38" i="10"/>
  <c r="A43" i="10"/>
  <c r="A44" i="9"/>
  <c r="C37" i="10"/>
  <c r="C48" i="9"/>
  <c r="C57" i="10"/>
  <c r="A17" i="9"/>
  <c r="C64" i="9"/>
  <c r="A1" i="9"/>
  <c r="A61" i="10"/>
  <c r="M12" i="6"/>
  <c r="C1" i="10"/>
  <c r="C33" i="10"/>
  <c r="C48" i="10"/>
  <c r="C53" i="9"/>
  <c r="A36" i="9"/>
  <c r="A45" i="10"/>
  <c r="C52" i="9"/>
  <c r="A42" i="9"/>
  <c r="C43" i="9"/>
  <c r="C46" i="10"/>
  <c r="C47" i="9"/>
  <c r="A34" i="9"/>
  <c r="A51" i="10"/>
  <c r="C36" i="10"/>
  <c r="A46" i="9"/>
  <c r="C40" i="10"/>
  <c r="A24" i="10"/>
  <c r="A19" i="9"/>
  <c r="C29" i="10"/>
  <c r="A18" i="9"/>
  <c r="C1" i="9"/>
  <c r="A26" i="9"/>
  <c r="A38" i="9"/>
  <c r="C58" i="10"/>
  <c r="C16" i="9"/>
  <c r="C45" i="10"/>
  <c r="C37" i="9"/>
  <c r="C53" i="10"/>
  <c r="C28" i="9"/>
  <c r="A60" i="9"/>
  <c r="A27" i="9"/>
  <c r="C31" i="9"/>
  <c r="A25" i="10"/>
  <c r="C32" i="9"/>
  <c r="A44" i="10"/>
  <c r="A37" i="10"/>
  <c r="A53" i="9"/>
  <c r="A37" i="9"/>
  <c r="C56" i="10"/>
  <c r="C30" i="10"/>
  <c r="A52" i="10"/>
  <c r="A35" i="10"/>
  <c r="A36" i="10"/>
  <c r="A19" i="10"/>
  <c r="A16" i="9"/>
  <c r="A42" i="10"/>
  <c r="C51" i="10"/>
  <c r="C34" i="9"/>
  <c r="C30" i="9"/>
  <c r="A33" i="10"/>
  <c r="A58" i="9"/>
  <c r="C61" i="10"/>
  <c r="A59" i="10"/>
  <c r="A51" i="9"/>
  <c r="A54" i="10"/>
  <c r="C28" i="10"/>
  <c r="A17" i="10"/>
  <c r="A22" i="9"/>
  <c r="C61" i="9"/>
  <c r="A48" i="10"/>
  <c r="BG265" i="6"/>
  <c r="AU265" i="6"/>
  <c r="BD265" i="6"/>
  <c r="AJ265" i="6"/>
  <c r="AJ15" i="6" s="1"/>
  <c r="Y15" i="6" s="1"/>
  <c r="AM265" i="6"/>
  <c r="BE265" i="6"/>
  <c r="AO265" i="6"/>
  <c r="AE265" i="6"/>
  <c r="AE15" i="6" s="1"/>
  <c r="T15" i="6" s="1"/>
  <c r="AC265" i="6"/>
  <c r="AC15" i="6" s="1"/>
  <c r="R15" i="6" s="1"/>
  <c r="BB265" i="6"/>
  <c r="AT265" i="6"/>
  <c r="AP265" i="6"/>
  <c r="C263" i="6"/>
  <c r="O263" i="5"/>
  <c r="K19" i="13"/>
  <c r="R19" i="13"/>
  <c r="T19" i="13"/>
  <c r="U19" i="13"/>
  <c r="S19" i="13"/>
  <c r="M19" i="13"/>
  <c r="O19" i="13"/>
  <c r="AD12" i="13"/>
  <c r="AG12" i="13"/>
  <c r="AE12" i="13"/>
  <c r="K17" i="13"/>
  <c r="U17" i="13"/>
  <c r="R17" i="13"/>
  <c r="T17" i="13"/>
  <c r="M17" i="13"/>
  <c r="O17" i="13"/>
  <c r="S17" i="13"/>
  <c r="AG21" i="13"/>
  <c r="AC21" i="13"/>
  <c r="D15" i="5"/>
  <c r="K23" i="13"/>
  <c r="S23" i="13"/>
  <c r="R23" i="13"/>
  <c r="M23" i="13"/>
  <c r="O23" i="13"/>
  <c r="U23" i="13"/>
  <c r="T23" i="13"/>
  <c r="N14" i="8"/>
  <c r="P14" i="8"/>
  <c r="D262" i="12"/>
  <c r="E262" i="6"/>
  <c r="N262" i="12"/>
  <c r="Y262" i="12"/>
  <c r="U261" i="12"/>
  <c r="T261" i="12"/>
  <c r="V261" i="12"/>
  <c r="N75" i="12" l="1"/>
  <c r="Y75" i="12"/>
  <c r="W75" i="12" s="1"/>
  <c r="K75" i="12"/>
  <c r="L43" i="5"/>
  <c r="O43" i="5" s="1"/>
  <c r="X118" i="5"/>
  <c r="X101" i="5"/>
  <c r="X93" i="5"/>
  <c r="X85" i="5"/>
  <c r="X77" i="5"/>
  <c r="X74" i="5" s="1"/>
  <c r="X60" i="5"/>
  <c r="L60" i="5" s="1"/>
  <c r="X69" i="5"/>
  <c r="X50" i="5"/>
  <c r="Z50" i="5" s="1"/>
  <c r="AC43" i="5"/>
  <c r="X38" i="5"/>
  <c r="I26" i="5"/>
  <c r="O25" i="5"/>
  <c r="L32" i="5"/>
  <c r="O32" i="5" s="1"/>
  <c r="X24" i="5"/>
  <c r="R20" i="8" s="1"/>
  <c r="AM32" i="5"/>
  <c r="AO66" i="12"/>
  <c r="X17" i="5"/>
  <c r="AM17" i="5" s="1"/>
  <c r="L20" i="8"/>
  <c r="E24" i="8" s="1"/>
  <c r="I23" i="8" s="1"/>
  <c r="M66" i="12"/>
  <c r="AA66" i="5"/>
  <c r="AB66" i="5"/>
  <c r="M43" i="12"/>
  <c r="AO43" i="12"/>
  <c r="AM43" i="5"/>
  <c r="I32" i="12"/>
  <c r="C32" i="12" s="1"/>
  <c r="Z43" i="5"/>
  <c r="Z32" i="5"/>
  <c r="AH14" i="13"/>
  <c r="AE14" i="13"/>
  <c r="Y263" i="12"/>
  <c r="X263" i="12" s="1"/>
  <c r="W262" i="12"/>
  <c r="X262" i="12"/>
  <c r="C43" i="12"/>
  <c r="L43" i="12"/>
  <c r="J43" i="12"/>
  <c r="D263" i="12"/>
  <c r="E263" i="6"/>
  <c r="C264" i="6"/>
  <c r="O264" i="5"/>
  <c r="P12" i="13"/>
  <c r="N12" i="13"/>
  <c r="D20" i="13"/>
  <c r="D19" i="13"/>
  <c r="D18" i="13"/>
  <c r="I22" i="12"/>
  <c r="O22" i="12" s="1"/>
  <c r="AM22" i="5"/>
  <c r="L22" i="5"/>
  <c r="Z22" i="5"/>
  <c r="D22" i="13"/>
  <c r="P23" i="13"/>
  <c r="N23" i="13"/>
  <c r="P17" i="13"/>
  <c r="N17" i="13"/>
  <c r="P19" i="13"/>
  <c r="N19" i="13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N16" i="13"/>
  <c r="P16" i="13"/>
  <c r="D21" i="13"/>
  <c r="N22" i="13"/>
  <c r="P22" i="13"/>
  <c r="J32" i="12"/>
  <c r="L32" i="12"/>
  <c r="N20" i="13"/>
  <c r="P20" i="13"/>
  <c r="D23" i="13"/>
  <c r="D17" i="13"/>
  <c r="P18" i="13"/>
  <c r="N18" i="13"/>
  <c r="N263" i="12"/>
  <c r="L265" i="5"/>
  <c r="I265" i="12"/>
  <c r="AM265" i="5"/>
  <c r="Z265" i="5"/>
  <c r="AC265" i="5"/>
  <c r="Y1" i="8"/>
  <c r="AE1" i="8"/>
  <c r="Z3" i="8"/>
  <c r="W1" i="8"/>
  <c r="W3" i="8"/>
  <c r="AE3" i="8"/>
  <c r="B1" i="8"/>
  <c r="AA1" i="8"/>
  <c r="AB1" i="8"/>
  <c r="C1" i="8"/>
  <c r="X3" i="8"/>
  <c r="D3" i="8"/>
  <c r="T3" i="8"/>
  <c r="X1" i="8"/>
  <c r="D1" i="8"/>
  <c r="T1" i="8"/>
  <c r="AA3" i="8"/>
  <c r="E3" i="8"/>
  <c r="AD1" i="8"/>
  <c r="V3" i="8"/>
  <c r="V1" i="8"/>
  <c r="AB3" i="8"/>
  <c r="Y3" i="8"/>
  <c r="AD3" i="8"/>
  <c r="U3" i="8"/>
  <c r="AC3" i="8"/>
  <c r="AC1" i="8"/>
  <c r="U1" i="8"/>
  <c r="Z1" i="8"/>
  <c r="D16" i="13"/>
  <c r="N21" i="13"/>
  <c r="P21" i="13"/>
  <c r="D12" i="13"/>
  <c r="V12" i="13"/>
  <c r="C43" i="6" l="1"/>
  <c r="X75" i="12"/>
  <c r="X15" i="5"/>
  <c r="I15" i="12" s="1"/>
  <c r="X16" i="5"/>
  <c r="O14" i="11" s="1"/>
  <c r="O15" i="11"/>
  <c r="I74" i="12"/>
  <c r="C74" i="12" s="1"/>
  <c r="AM74" i="5"/>
  <c r="Z74" i="5"/>
  <c r="AC74" i="5"/>
  <c r="L74" i="5"/>
  <c r="C74" i="6" s="1"/>
  <c r="T75" i="12"/>
  <c r="V75" i="12"/>
  <c r="U75" i="12"/>
  <c r="AM118" i="5"/>
  <c r="AC118" i="5"/>
  <c r="I118" i="12"/>
  <c r="L118" i="5"/>
  <c r="Z118" i="5"/>
  <c r="L101" i="5"/>
  <c r="AM101" i="5"/>
  <c r="Z101" i="5"/>
  <c r="I101" i="12"/>
  <c r="AC101" i="5"/>
  <c r="AM93" i="5"/>
  <c r="I93" i="12"/>
  <c r="L93" i="5"/>
  <c r="Z93" i="5"/>
  <c r="AC93" i="5"/>
  <c r="Z85" i="5"/>
  <c r="AC85" i="5"/>
  <c r="AM85" i="5"/>
  <c r="L85" i="5"/>
  <c r="I85" i="12"/>
  <c r="L77" i="5"/>
  <c r="Z77" i="5"/>
  <c r="AM77" i="5"/>
  <c r="I77" i="12"/>
  <c r="AC60" i="5"/>
  <c r="AM60" i="5"/>
  <c r="I60" i="12"/>
  <c r="C60" i="12" s="1"/>
  <c r="C32" i="6"/>
  <c r="Z60" i="5"/>
  <c r="L69" i="5"/>
  <c r="Z69" i="5"/>
  <c r="AC69" i="5"/>
  <c r="I69" i="12"/>
  <c r="AM69" i="5"/>
  <c r="J60" i="12"/>
  <c r="Y66" i="12"/>
  <c r="X66" i="12" s="1"/>
  <c r="N66" i="12"/>
  <c r="C60" i="6"/>
  <c r="O60" i="5"/>
  <c r="I50" i="12"/>
  <c r="C50" i="12" s="1"/>
  <c r="AC50" i="5"/>
  <c r="L50" i="5"/>
  <c r="O50" i="5" s="1"/>
  <c r="AM50" i="5"/>
  <c r="Z38" i="5"/>
  <c r="L38" i="5"/>
  <c r="AC38" i="5"/>
  <c r="I38" i="12"/>
  <c r="AM38" i="5"/>
  <c r="Y43" i="12"/>
  <c r="N43" i="12"/>
  <c r="I27" i="5"/>
  <c r="O26" i="5"/>
  <c r="D25" i="12"/>
  <c r="E25" i="6"/>
  <c r="L24" i="5"/>
  <c r="Z24" i="5"/>
  <c r="AM24" i="5"/>
  <c r="I24" i="12"/>
  <c r="I17" i="12"/>
  <c r="C17" i="12" s="1"/>
  <c r="R17" i="8"/>
  <c r="F17" i="8" s="1"/>
  <c r="Z17" i="5"/>
  <c r="L17" i="5"/>
  <c r="O17" i="5" s="1"/>
  <c r="P20" i="8"/>
  <c r="R22" i="8"/>
  <c r="O20" i="8"/>
  <c r="L23" i="8"/>
  <c r="R23" i="8"/>
  <c r="AB53" i="5"/>
  <c r="AB43" i="5"/>
  <c r="AA43" i="5"/>
  <c r="AB32" i="5"/>
  <c r="AA32" i="5"/>
  <c r="AO32" i="12"/>
  <c r="M32" i="12"/>
  <c r="O32" i="12"/>
  <c r="AO22" i="12"/>
  <c r="Y22" i="12" s="1"/>
  <c r="W22" i="12" s="1"/>
  <c r="M22" i="12"/>
  <c r="N22" i="12" s="1"/>
  <c r="AB22" i="5"/>
  <c r="AA22" i="5"/>
  <c r="W263" i="12"/>
  <c r="U263" i="12" s="1"/>
  <c r="K32" i="12"/>
  <c r="K43" i="12"/>
  <c r="Y264" i="12"/>
  <c r="X264" i="12" s="1"/>
  <c r="AA265" i="5"/>
  <c r="AB265" i="5"/>
  <c r="U73" i="10"/>
  <c r="AA73" i="10"/>
  <c r="S73" i="10"/>
  <c r="AE73" i="10"/>
  <c r="Y73" i="10"/>
  <c r="O73" i="10"/>
  <c r="AC73" i="10"/>
  <c r="W73" i="10"/>
  <c r="I73" i="10"/>
  <c r="AM15" i="5"/>
  <c r="Z15" i="5"/>
  <c r="K73" i="10"/>
  <c r="M73" i="10"/>
  <c r="Q73" i="10"/>
  <c r="C265" i="12"/>
  <c r="AO265" i="12"/>
  <c r="O265" i="12"/>
  <c r="O118" i="12" s="1"/>
  <c r="M265" i="12"/>
  <c r="M93" i="12" s="1"/>
  <c r="C53" i="12"/>
  <c r="J53" i="12"/>
  <c r="M53" i="12" s="1"/>
  <c r="L53" i="12"/>
  <c r="O53" i="12" s="1"/>
  <c r="D66" i="12"/>
  <c r="E66" i="6"/>
  <c r="F20" i="8"/>
  <c r="F21" i="8"/>
  <c r="E264" i="6"/>
  <c r="D264" i="12"/>
  <c r="D43" i="12"/>
  <c r="E43" i="6"/>
  <c r="C265" i="6"/>
  <c r="O265" i="5"/>
  <c r="C53" i="6"/>
  <c r="K66" i="12"/>
  <c r="N264" i="12"/>
  <c r="C22" i="6"/>
  <c r="O22" i="5"/>
  <c r="C22" i="12"/>
  <c r="J22" i="12"/>
  <c r="L22" i="12"/>
  <c r="D32" i="12"/>
  <c r="E32" i="6"/>
  <c r="T262" i="12"/>
  <c r="U262" i="12"/>
  <c r="V262" i="12"/>
  <c r="AO77" i="12" l="1"/>
  <c r="AO74" i="12" s="1"/>
  <c r="AO69" i="12" s="1"/>
  <c r="R14" i="8"/>
  <c r="AM16" i="5"/>
  <c r="Z16" i="5"/>
  <c r="L16" i="5"/>
  <c r="O16" i="5" s="1"/>
  <c r="I16" i="12"/>
  <c r="J16" i="12" s="1"/>
  <c r="O74" i="5"/>
  <c r="E74" i="6" s="1"/>
  <c r="J74" i="12"/>
  <c r="W66" i="12"/>
  <c r="U66" i="12" s="1"/>
  <c r="W15" i="11"/>
  <c r="L15" i="13"/>
  <c r="D15" i="13" s="1"/>
  <c r="C15" i="11"/>
  <c r="W264" i="12"/>
  <c r="V264" i="12" s="1"/>
  <c r="J50" i="12"/>
  <c r="C17" i="6"/>
  <c r="AB101" i="5"/>
  <c r="AB118" i="5"/>
  <c r="C118" i="6"/>
  <c r="O118" i="5"/>
  <c r="J118" i="12"/>
  <c r="L118" i="12"/>
  <c r="C118" i="12"/>
  <c r="AO118" i="12"/>
  <c r="Y118" i="12" s="1"/>
  <c r="M118" i="12"/>
  <c r="N118" i="12" s="1"/>
  <c r="O93" i="12"/>
  <c r="N93" i="12" s="1"/>
  <c r="O101" i="12"/>
  <c r="L101" i="12" s="1"/>
  <c r="O101" i="5"/>
  <c r="C101" i="6"/>
  <c r="J101" i="12"/>
  <c r="C101" i="12"/>
  <c r="AO101" i="12"/>
  <c r="M101" i="12"/>
  <c r="AB77" i="5"/>
  <c r="AB74" i="5" s="1"/>
  <c r="AB93" i="5"/>
  <c r="C93" i="6"/>
  <c r="O93" i="5"/>
  <c r="AO93" i="12"/>
  <c r="J93" i="12"/>
  <c r="C93" i="12"/>
  <c r="J85" i="12"/>
  <c r="C85" i="12"/>
  <c r="M85" i="12"/>
  <c r="C85" i="6"/>
  <c r="O85" i="5"/>
  <c r="AB85" i="5"/>
  <c r="O85" i="12"/>
  <c r="L85" i="12" s="1"/>
  <c r="AO85" i="12"/>
  <c r="J77" i="12"/>
  <c r="M77" i="12" s="1"/>
  <c r="M74" i="12" s="1"/>
  <c r="C77" i="12"/>
  <c r="C77" i="6"/>
  <c r="C50" i="6"/>
  <c r="J69" i="12"/>
  <c r="C69" i="12"/>
  <c r="C69" i="6"/>
  <c r="O69" i="5"/>
  <c r="D60" i="12"/>
  <c r="E60" i="6"/>
  <c r="D50" i="12"/>
  <c r="E50" i="6"/>
  <c r="J38" i="12"/>
  <c r="C38" i="12"/>
  <c r="N53" i="12"/>
  <c r="X43" i="12"/>
  <c r="W43" i="12"/>
  <c r="C38" i="6"/>
  <c r="O38" i="5"/>
  <c r="I28" i="5"/>
  <c r="O27" i="5"/>
  <c r="T263" i="12"/>
  <c r="V263" i="12"/>
  <c r="Y53" i="12"/>
  <c r="X53" i="12" s="1"/>
  <c r="J17" i="12"/>
  <c r="D26" i="12"/>
  <c r="E26" i="6"/>
  <c r="F18" i="8"/>
  <c r="J24" i="12"/>
  <c r="C24" i="12"/>
  <c r="O24" i="5"/>
  <c r="H20" i="8" s="1"/>
  <c r="C24" i="6"/>
  <c r="M15" i="12"/>
  <c r="J15" i="12" s="1"/>
  <c r="X22" i="12"/>
  <c r="F24" i="8"/>
  <c r="F23" i="8"/>
  <c r="O23" i="8"/>
  <c r="E27" i="8"/>
  <c r="H26" i="8" s="1"/>
  <c r="R25" i="8"/>
  <c r="P23" i="8"/>
  <c r="M17" i="12"/>
  <c r="N32" i="12"/>
  <c r="Y32" i="12"/>
  <c r="Y265" i="12"/>
  <c r="W265" i="12" s="1"/>
  <c r="D22" i="12"/>
  <c r="E22" i="6"/>
  <c r="Q71" i="10"/>
  <c r="Q70" i="10" s="1"/>
  <c r="Q72" i="10"/>
  <c r="K72" i="10"/>
  <c r="K71" i="10"/>
  <c r="K70" i="10" s="1"/>
  <c r="W71" i="10"/>
  <c r="W70" i="10" s="1"/>
  <c r="W72" i="10"/>
  <c r="O72" i="10"/>
  <c r="O71" i="10"/>
  <c r="O70" i="10" s="1"/>
  <c r="AE71" i="10"/>
  <c r="AE70" i="10" s="1"/>
  <c r="AE72" i="10"/>
  <c r="AA72" i="10"/>
  <c r="AA71" i="10"/>
  <c r="AA70" i="10" s="1"/>
  <c r="F15" i="8"/>
  <c r="F14" i="8"/>
  <c r="C16" i="12"/>
  <c r="K22" i="12"/>
  <c r="D17" i="12"/>
  <c r="E17" i="6"/>
  <c r="H17" i="8"/>
  <c r="D265" i="12"/>
  <c r="E265" i="6"/>
  <c r="K53" i="12"/>
  <c r="N265" i="12"/>
  <c r="M72" i="10"/>
  <c r="M71" i="10"/>
  <c r="M70" i="10" s="1"/>
  <c r="I72" i="10"/>
  <c r="AE9" i="10" s="1"/>
  <c r="I71" i="10"/>
  <c r="I70" i="10" s="1"/>
  <c r="Y9" i="10" s="1"/>
  <c r="AC71" i="10"/>
  <c r="AC70" i="10" s="1"/>
  <c r="AC72" i="10"/>
  <c r="Y71" i="10"/>
  <c r="Y70" i="10" s="1"/>
  <c r="Y72" i="10"/>
  <c r="S71" i="10"/>
  <c r="S70" i="10" s="1"/>
  <c r="S72" i="10"/>
  <c r="U71" i="10"/>
  <c r="U70" i="10" s="1"/>
  <c r="U72" i="10"/>
  <c r="L14" i="13"/>
  <c r="O24" i="11"/>
  <c r="C14" i="11"/>
  <c r="W14" i="11"/>
  <c r="V22" i="12"/>
  <c r="U22" i="12"/>
  <c r="T22" i="12"/>
  <c r="C16" i="6" l="1"/>
  <c r="D74" i="12"/>
  <c r="V66" i="12"/>
  <c r="T66" i="12"/>
  <c r="T264" i="12"/>
  <c r="U264" i="12"/>
  <c r="M69" i="12"/>
  <c r="AL15" i="13"/>
  <c r="M15" i="13" s="1"/>
  <c r="AK15" i="13"/>
  <c r="O69" i="12"/>
  <c r="L69" i="12" s="1"/>
  <c r="K69" i="12" s="1"/>
  <c r="AO15" i="13"/>
  <c r="O15" i="13" s="1"/>
  <c r="AN15" i="13"/>
  <c r="AB69" i="5"/>
  <c r="AB15" i="11"/>
  <c r="N15" i="11" s="1"/>
  <c r="L77" i="12"/>
  <c r="L93" i="12"/>
  <c r="K93" i="12" s="1"/>
  <c r="Y93" i="12"/>
  <c r="X93" i="12" s="1"/>
  <c r="W118" i="12"/>
  <c r="X118" i="12"/>
  <c r="E118" i="6"/>
  <c r="D118" i="12"/>
  <c r="K118" i="12"/>
  <c r="Y101" i="12"/>
  <c r="X101" i="12" s="1"/>
  <c r="E101" i="6"/>
  <c r="D101" i="12"/>
  <c r="N101" i="12"/>
  <c r="K101" i="12"/>
  <c r="D93" i="12"/>
  <c r="E93" i="6"/>
  <c r="N85" i="12"/>
  <c r="K85" i="12"/>
  <c r="Y85" i="12"/>
  <c r="E85" i="6"/>
  <c r="D85" i="12"/>
  <c r="E69" i="6"/>
  <c r="D69" i="12"/>
  <c r="O15" i="12"/>
  <c r="L15" i="12" s="1"/>
  <c r="K15" i="12" s="1"/>
  <c r="O60" i="12"/>
  <c r="L60" i="12" s="1"/>
  <c r="K60" i="12" s="1"/>
  <c r="AB17" i="5"/>
  <c r="AB60" i="5"/>
  <c r="AO50" i="12"/>
  <c r="AO60" i="12"/>
  <c r="M50" i="12"/>
  <c r="M60" i="12"/>
  <c r="AB50" i="5"/>
  <c r="O50" i="12"/>
  <c r="W53" i="12"/>
  <c r="T53" i="12" s="1"/>
  <c r="M16" i="12"/>
  <c r="AL14" i="13" s="1"/>
  <c r="M14" i="13" s="1"/>
  <c r="M28" i="13" s="1"/>
  <c r="M38" i="12"/>
  <c r="E38" i="6"/>
  <c r="D38" i="12"/>
  <c r="H23" i="8"/>
  <c r="O38" i="12"/>
  <c r="L38" i="12" s="1"/>
  <c r="K38" i="12" s="1"/>
  <c r="AO16" i="12"/>
  <c r="AO38" i="12"/>
  <c r="V43" i="12"/>
  <c r="U43" i="12"/>
  <c r="T43" i="12"/>
  <c r="AB38" i="5"/>
  <c r="I29" i="5"/>
  <c r="O28" i="5"/>
  <c r="D27" i="12"/>
  <c r="E27" i="6"/>
  <c r="M24" i="12"/>
  <c r="AO24" i="12"/>
  <c r="AB24" i="5"/>
  <c r="D24" i="12"/>
  <c r="E24" i="6"/>
  <c r="O24" i="12"/>
  <c r="L24" i="12" s="1"/>
  <c r="K24" i="12" s="1"/>
  <c r="AB16" i="5"/>
  <c r="AB14" i="11" s="1"/>
  <c r="I26" i="8"/>
  <c r="R26" i="8"/>
  <c r="L26" i="8"/>
  <c r="AB15" i="5"/>
  <c r="O17" i="12"/>
  <c r="AO17" i="12"/>
  <c r="W32" i="12"/>
  <c r="X32" i="12"/>
  <c r="X265" i="12"/>
  <c r="O25" i="11"/>
  <c r="AA7" i="11"/>
  <c r="AF14" i="13"/>
  <c r="AC14" i="13"/>
  <c r="V265" i="12"/>
  <c r="U265" i="12"/>
  <c r="T265" i="12"/>
  <c r="AG14" i="13"/>
  <c r="AD14" i="13"/>
  <c r="L28" i="13"/>
  <c r="V14" i="13"/>
  <c r="D14" i="13"/>
  <c r="D16" i="12"/>
  <c r="E16" i="6"/>
  <c r="H14" i="8"/>
  <c r="Y69" i="12" l="1"/>
  <c r="X69" i="12" s="1"/>
  <c r="K77" i="12"/>
  <c r="O77" i="12"/>
  <c r="U15" i="13"/>
  <c r="S15" i="13"/>
  <c r="N69" i="12"/>
  <c r="P15" i="13"/>
  <c r="N15" i="13"/>
  <c r="W93" i="12"/>
  <c r="T93" i="12" s="1"/>
  <c r="Y60" i="12"/>
  <c r="X60" i="12" s="1"/>
  <c r="W101" i="12"/>
  <c r="V101" i="12" s="1"/>
  <c r="T118" i="12"/>
  <c r="V118" i="12"/>
  <c r="U118" i="12"/>
  <c r="X85" i="12"/>
  <c r="W85" i="12"/>
  <c r="N15" i="12"/>
  <c r="N10" i="12"/>
  <c r="U53" i="12"/>
  <c r="V53" i="12"/>
  <c r="N60" i="12"/>
  <c r="N50" i="12"/>
  <c r="L50" i="12"/>
  <c r="K50" i="12" s="1"/>
  <c r="Y50" i="12"/>
  <c r="N38" i="12"/>
  <c r="P26" i="8"/>
  <c r="Y38" i="12"/>
  <c r="I30" i="5"/>
  <c r="O29" i="5"/>
  <c r="D28" i="12"/>
  <c r="E28" i="6"/>
  <c r="AK14" i="13"/>
  <c r="S14" i="13" s="1"/>
  <c r="M27" i="13" s="1"/>
  <c r="N24" i="12"/>
  <c r="Y24" i="12"/>
  <c r="N17" i="12"/>
  <c r="L17" i="12"/>
  <c r="K17" i="12" s="1"/>
  <c r="O26" i="8"/>
  <c r="Y17" i="12"/>
  <c r="X17" i="12" s="1"/>
  <c r="E30" i="8"/>
  <c r="R28" i="8"/>
  <c r="F26" i="8"/>
  <c r="F27" i="8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N14" i="11"/>
  <c r="N24" i="11" s="1"/>
  <c r="AB24" i="11"/>
  <c r="AB7" i="11" s="1"/>
  <c r="Z3" i="11" s="1"/>
  <c r="D33" i="14"/>
  <c r="L24" i="13"/>
  <c r="M24" i="13"/>
  <c r="O29" i="13"/>
  <c r="W69" i="12" l="1"/>
  <c r="U69" i="12" s="1"/>
  <c r="Y77" i="12"/>
  <c r="O74" i="12"/>
  <c r="N77" i="12"/>
  <c r="O16" i="12"/>
  <c r="U101" i="12"/>
  <c r="U93" i="12"/>
  <c r="V93" i="12"/>
  <c r="W60" i="12"/>
  <c r="T60" i="12" s="1"/>
  <c r="T101" i="12"/>
  <c r="U85" i="12"/>
  <c r="V85" i="12"/>
  <c r="T85" i="12"/>
  <c r="T69" i="12"/>
  <c r="V69" i="12"/>
  <c r="W17" i="12"/>
  <c r="T17" i="12" s="1"/>
  <c r="X50" i="12"/>
  <c r="W50" i="12"/>
  <c r="W38" i="12"/>
  <c r="X38" i="12"/>
  <c r="I31" i="5"/>
  <c r="I32" i="5" s="1"/>
  <c r="I33" i="5" s="1"/>
  <c r="I34" i="5" s="1"/>
  <c r="I35" i="5" s="1"/>
  <c r="I36" i="5" s="1"/>
  <c r="I37" i="5" s="1"/>
  <c r="I38" i="5" s="1"/>
  <c r="I39" i="5" s="1"/>
  <c r="O30" i="5"/>
  <c r="D29" i="12"/>
  <c r="E29" i="6"/>
  <c r="X24" i="12"/>
  <c r="W24" i="12"/>
  <c r="AA3" i="11"/>
  <c r="AA98" i="5" s="1"/>
  <c r="L29" i="8"/>
  <c r="H29" i="8"/>
  <c r="I29" i="8"/>
  <c r="R29" i="8"/>
  <c r="F29" i="8" s="1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N25" i="11"/>
  <c r="L27" i="13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V60" i="12" l="1"/>
  <c r="L16" i="12"/>
  <c r="K16" i="12" s="1"/>
  <c r="AO14" i="13"/>
  <c r="O14" i="13" s="1"/>
  <c r="Y16" i="12"/>
  <c r="N16" i="12"/>
  <c r="AN14" i="13"/>
  <c r="U14" i="13" s="1"/>
  <c r="AD4" i="13" s="1"/>
  <c r="Y74" i="12"/>
  <c r="N74" i="12"/>
  <c r="L74" i="12"/>
  <c r="K74" i="12" s="1"/>
  <c r="W77" i="12"/>
  <c r="X77" i="12"/>
  <c r="AA75" i="5"/>
  <c r="AA76" i="5"/>
  <c r="U17" i="12"/>
  <c r="AA91" i="5"/>
  <c r="AA105" i="5"/>
  <c r="AA84" i="5"/>
  <c r="AA90" i="5"/>
  <c r="AA82" i="5"/>
  <c r="AA83" i="5"/>
  <c r="AA104" i="5"/>
  <c r="AA81" i="5"/>
  <c r="AA96" i="5"/>
  <c r="AA97" i="5"/>
  <c r="AA119" i="5"/>
  <c r="AA118" i="5" s="1"/>
  <c r="AA95" i="5"/>
  <c r="U60" i="12"/>
  <c r="AA88" i="5"/>
  <c r="AA89" i="5"/>
  <c r="AA79" i="5"/>
  <c r="AA80" i="5"/>
  <c r="AA102" i="5"/>
  <c r="AA103" i="5"/>
  <c r="AA87" i="5"/>
  <c r="AA78" i="5"/>
  <c r="AA94" i="5"/>
  <c r="AA86" i="5"/>
  <c r="AA72" i="5"/>
  <c r="AA73" i="5"/>
  <c r="AA70" i="5"/>
  <c r="AA71" i="5"/>
  <c r="V17" i="12"/>
  <c r="AA61" i="5"/>
  <c r="AA62" i="5"/>
  <c r="AA53" i="5"/>
  <c r="AA55" i="5"/>
  <c r="AA51" i="5"/>
  <c r="AA52" i="5"/>
  <c r="U50" i="12"/>
  <c r="V50" i="12"/>
  <c r="T50" i="12"/>
  <c r="O29" i="8"/>
  <c r="AA41" i="5"/>
  <c r="AA42" i="5"/>
  <c r="AA39" i="5"/>
  <c r="AA40" i="5"/>
  <c r="I40" i="5"/>
  <c r="O39" i="5"/>
  <c r="O31" i="5"/>
  <c r="E31" i="6" s="1"/>
  <c r="T38" i="12"/>
  <c r="V38" i="12"/>
  <c r="U38" i="12"/>
  <c r="E30" i="6"/>
  <c r="D30" i="12"/>
  <c r="AA31" i="5"/>
  <c r="AA30" i="5"/>
  <c r="AA28" i="5"/>
  <c r="AA29" i="5"/>
  <c r="AA26" i="5"/>
  <c r="AA27" i="5"/>
  <c r="AA18" i="5"/>
  <c r="AA17" i="5" s="1"/>
  <c r="AA25" i="5"/>
  <c r="T24" i="12"/>
  <c r="V24" i="12"/>
  <c r="U24" i="12"/>
  <c r="AD23" i="11"/>
  <c r="AD15" i="11"/>
  <c r="AD18" i="11"/>
  <c r="AD20" i="11"/>
  <c r="AD12" i="11"/>
  <c r="AD22" i="11"/>
  <c r="AD21" i="11"/>
  <c r="AD19" i="11"/>
  <c r="AD16" i="11"/>
  <c r="AD14" i="11"/>
  <c r="AD17" i="11"/>
  <c r="F30" i="8"/>
  <c r="P29" i="8"/>
  <c r="E33" i="8"/>
  <c r="R31" i="8"/>
  <c r="D32" i="14"/>
  <c r="W74" i="12" l="1"/>
  <c r="X74" i="12"/>
  <c r="X16" i="12"/>
  <c r="W16" i="12"/>
  <c r="N14" i="13"/>
  <c r="K6" i="14" s="1"/>
  <c r="L6" i="14" s="1"/>
  <c r="P14" i="13"/>
  <c r="O28" i="13"/>
  <c r="V77" i="12"/>
  <c r="T77" i="12"/>
  <c r="U77" i="12"/>
  <c r="AA93" i="5"/>
  <c r="AA85" i="5"/>
  <c r="AA77" i="5"/>
  <c r="AA74" i="5" s="1"/>
  <c r="AA101" i="5"/>
  <c r="AA69" i="5"/>
  <c r="AA60" i="5"/>
  <c r="AA50" i="5"/>
  <c r="D31" i="12"/>
  <c r="AA38" i="5"/>
  <c r="I41" i="5"/>
  <c r="O40" i="5"/>
  <c r="D39" i="12"/>
  <c r="E39" i="6"/>
  <c r="AA24" i="5"/>
  <c r="AE18" i="11"/>
  <c r="M18" i="11" s="1"/>
  <c r="L18" i="11" s="1"/>
  <c r="AE23" i="11"/>
  <c r="M23" i="11" s="1"/>
  <c r="L23" i="11" s="1"/>
  <c r="AE17" i="11"/>
  <c r="M17" i="11" s="1"/>
  <c r="L17" i="11" s="1"/>
  <c r="AE19" i="11"/>
  <c r="M19" i="11" s="1"/>
  <c r="L19" i="11" s="1"/>
  <c r="AE20" i="11"/>
  <c r="M20" i="11" s="1"/>
  <c r="L20" i="11" s="1"/>
  <c r="AE12" i="11"/>
  <c r="M12" i="11" s="1"/>
  <c r="L12" i="11" s="1"/>
  <c r="AE14" i="11"/>
  <c r="AE15" i="11"/>
  <c r="AE16" i="11"/>
  <c r="M16" i="11" s="1"/>
  <c r="L16" i="11" s="1"/>
  <c r="AE21" i="11"/>
  <c r="M21" i="11" s="1"/>
  <c r="L21" i="11" s="1"/>
  <c r="AE22" i="11"/>
  <c r="M22" i="11" s="1"/>
  <c r="L22" i="11" s="1"/>
  <c r="I32" i="8"/>
  <c r="R32" i="8"/>
  <c r="F32" i="8" s="1"/>
  <c r="L32" i="8"/>
  <c r="H32" i="8"/>
  <c r="AD6" i="13" l="1"/>
  <c r="AE6" i="13" s="1"/>
  <c r="AC27" i="13"/>
  <c r="O24" i="13"/>
  <c r="F33" i="14"/>
  <c r="N28" i="13"/>
  <c r="AD27" i="13"/>
  <c r="P24" i="13"/>
  <c r="U16" i="12"/>
  <c r="T16" i="12"/>
  <c r="V16" i="12"/>
  <c r="AA15" i="5"/>
  <c r="AA16" i="5"/>
  <c r="AA14" i="11" s="1"/>
  <c r="Z14" i="11" s="1"/>
  <c r="V74" i="12"/>
  <c r="U74" i="12"/>
  <c r="T74" i="12"/>
  <c r="AA15" i="11"/>
  <c r="Z15" i="11" s="1"/>
  <c r="AJ15" i="13"/>
  <c r="AM15" i="13"/>
  <c r="O32" i="8"/>
  <c r="I42" i="5"/>
  <c r="O41" i="5"/>
  <c r="D40" i="12"/>
  <c r="E40" i="6"/>
  <c r="F33" i="8"/>
  <c r="P32" i="8"/>
  <c r="R34" i="8"/>
  <c r="E36" i="8"/>
  <c r="AJ14" i="13" l="1"/>
  <c r="R14" i="13" s="1"/>
  <c r="T15" i="13"/>
  <c r="AM14" i="13"/>
  <c r="T14" i="13" s="1"/>
  <c r="AD3" i="13" s="1"/>
  <c r="AD2" i="13" s="1"/>
  <c r="F34" i="14"/>
  <c r="M14" i="11"/>
  <c r="L14" i="11" s="1"/>
  <c r="AE4" i="13"/>
  <c r="O27" i="13" s="1"/>
  <c r="N24" i="13"/>
  <c r="E33" i="14"/>
  <c r="E34" i="14"/>
  <c r="R15" i="13"/>
  <c r="AA24" i="11"/>
  <c r="Z24" i="11"/>
  <c r="M15" i="11"/>
  <c r="L15" i="11" s="1"/>
  <c r="I43" i="5"/>
  <c r="I44" i="5" s="1"/>
  <c r="I45" i="5" s="1"/>
  <c r="I46" i="5" s="1"/>
  <c r="I47" i="5" s="1"/>
  <c r="I48" i="5" s="1"/>
  <c r="I49" i="5" s="1"/>
  <c r="I50" i="5" s="1"/>
  <c r="I51" i="5" s="1"/>
  <c r="O42" i="5"/>
  <c r="E41" i="6"/>
  <c r="D41" i="12"/>
  <c r="I35" i="8"/>
  <c r="H35" i="8"/>
  <c r="R35" i="8"/>
  <c r="F36" i="8" s="1"/>
  <c r="L35" i="8"/>
  <c r="M26" i="13" l="1"/>
  <c r="M25" i="13" s="1"/>
  <c r="N27" i="13"/>
  <c r="E32" i="14" s="1"/>
  <c r="F32" i="14"/>
  <c r="L24" i="11"/>
  <c r="L10" i="11" s="1"/>
  <c r="M10" i="13" s="1"/>
  <c r="M24" i="11"/>
  <c r="P35" i="8"/>
  <c r="I52" i="5"/>
  <c r="O51" i="5"/>
  <c r="D42" i="12"/>
  <c r="E42" i="6"/>
  <c r="O35" i="8"/>
  <c r="F35" i="8"/>
  <c r="R37" i="8"/>
  <c r="E39" i="8"/>
  <c r="AE3" i="13" l="1"/>
  <c r="O26" i="13" s="1"/>
  <c r="N26" i="13" s="1"/>
  <c r="E31" i="14" s="1"/>
  <c r="L25" i="11"/>
  <c r="L25" i="13"/>
  <c r="D30" i="14" s="1"/>
  <c r="M25" i="11"/>
  <c r="L26" i="13"/>
  <c r="M10" i="11"/>
  <c r="N10" i="13" s="1"/>
  <c r="I53" i="5"/>
  <c r="O52" i="5"/>
  <c r="D51" i="12"/>
  <c r="E51" i="6"/>
  <c r="H38" i="8"/>
  <c r="L38" i="8"/>
  <c r="I38" i="8"/>
  <c r="R38" i="8"/>
  <c r="F39" i="8" s="1"/>
  <c r="F31" i="14" l="1"/>
  <c r="O25" i="13"/>
  <c r="F30" i="14" s="1"/>
  <c r="AE2" i="13"/>
  <c r="G9" i="11"/>
  <c r="AC26" i="13"/>
  <c r="D31" i="14"/>
  <c r="AD26" i="13"/>
  <c r="I54" i="5"/>
  <c r="I55" i="5" s="1"/>
  <c r="O53" i="5"/>
  <c r="D52" i="12"/>
  <c r="E52" i="6"/>
  <c r="P38" i="8"/>
  <c r="F38" i="8"/>
  <c r="O38" i="8"/>
  <c r="R40" i="8"/>
  <c r="E42" i="8"/>
  <c r="N25" i="13" l="1"/>
  <c r="E30" i="14" s="1"/>
  <c r="I56" i="5"/>
  <c r="I57" i="5" s="1"/>
  <c r="I58" i="5" s="1"/>
  <c r="I59" i="5" s="1"/>
  <c r="I60" i="5" s="1"/>
  <c r="I61" i="5" s="1"/>
  <c r="O55" i="5"/>
  <c r="D53" i="12"/>
  <c r="E53" i="6"/>
  <c r="L41" i="8"/>
  <c r="P41" i="8" s="1"/>
  <c r="H41" i="8"/>
  <c r="I41" i="8"/>
  <c r="R41" i="8"/>
  <c r="F41" i="8" s="1"/>
  <c r="O41" i="8" l="1"/>
  <c r="I62" i="5"/>
  <c r="O61" i="5"/>
  <c r="E55" i="6"/>
  <c r="D55" i="12"/>
  <c r="F42" i="8"/>
  <c r="R43" i="8"/>
  <c r="E45" i="8"/>
  <c r="I63" i="5" l="1"/>
  <c r="I64" i="5" s="1"/>
  <c r="I65" i="5" s="1"/>
  <c r="I66" i="5" s="1"/>
  <c r="I67" i="5" s="1"/>
  <c r="I68" i="5" s="1"/>
  <c r="I69" i="5" s="1"/>
  <c r="I70" i="5" s="1"/>
  <c r="O62" i="5"/>
  <c r="D61" i="12"/>
  <c r="E61" i="6"/>
  <c r="H44" i="8"/>
  <c r="I44" i="8"/>
  <c r="R44" i="8"/>
  <c r="F45" i="8" s="1"/>
  <c r="L44" i="8"/>
  <c r="O44" i="8" l="1"/>
  <c r="I71" i="5"/>
  <c r="O70" i="5"/>
  <c r="D62" i="12"/>
  <c r="E62" i="6"/>
  <c r="R46" i="8"/>
  <c r="E48" i="8"/>
  <c r="F44" i="8"/>
  <c r="P44" i="8"/>
  <c r="I72" i="5" l="1"/>
  <c r="O71" i="5"/>
  <c r="D70" i="12"/>
  <c r="E70" i="6"/>
  <c r="L47" i="8"/>
  <c r="P47" i="8" s="1"/>
  <c r="H47" i="8"/>
  <c r="R47" i="8"/>
  <c r="F48" i="8" s="1"/>
  <c r="I47" i="8"/>
  <c r="I73" i="5" l="1"/>
  <c r="O72" i="5"/>
  <c r="D71" i="12"/>
  <c r="E71" i="6"/>
  <c r="O47" i="8"/>
  <c r="R49" i="8"/>
  <c r="E51" i="8"/>
  <c r="F47" i="8"/>
  <c r="I74" i="5" l="1"/>
  <c r="I75" i="5" s="1"/>
  <c r="O73" i="5"/>
  <c r="D72" i="12"/>
  <c r="E72" i="6"/>
  <c r="L50" i="8"/>
  <c r="R50" i="8"/>
  <c r="F50" i="8" s="1"/>
  <c r="I50" i="8"/>
  <c r="H50" i="8"/>
  <c r="I76" i="5" l="1"/>
  <c r="O75" i="5"/>
  <c r="D73" i="12"/>
  <c r="E73" i="6"/>
  <c r="O50" i="8"/>
  <c r="P50" i="8"/>
  <c r="F51" i="8"/>
  <c r="R52" i="8"/>
  <c r="E54" i="8"/>
  <c r="I77" i="5" l="1"/>
  <c r="O76" i="5"/>
  <c r="D75" i="12"/>
  <c r="E75" i="6"/>
  <c r="I53" i="8"/>
  <c r="L53" i="8"/>
  <c r="H53" i="8"/>
  <c r="R53" i="8"/>
  <c r="F54" i="8" s="1"/>
  <c r="I78" i="5" l="1"/>
  <c r="I79" i="5" s="1"/>
  <c r="O77" i="5"/>
  <c r="D76" i="12"/>
  <c r="E76" i="6"/>
  <c r="M26" i="8"/>
  <c r="M14" i="8"/>
  <c r="Q14" i="8" s="1"/>
  <c r="M23" i="8"/>
  <c r="M17" i="8"/>
  <c r="M20" i="8"/>
  <c r="M32" i="8"/>
  <c r="M29" i="8"/>
  <c r="P53" i="8"/>
  <c r="O53" i="8"/>
  <c r="F53" i="8"/>
  <c r="E57" i="8"/>
  <c r="R55" i="8"/>
  <c r="O78" i="5" l="1"/>
  <c r="E78" i="6" s="1"/>
  <c r="D77" i="12"/>
  <c r="E77" i="6"/>
  <c r="I80" i="5"/>
  <c r="O79" i="5"/>
  <c r="C14" i="8"/>
  <c r="G15" i="8"/>
  <c r="G14" i="8"/>
  <c r="I15" i="8" s="1"/>
  <c r="E16" i="8"/>
  <c r="B14" i="8"/>
  <c r="I56" i="8"/>
  <c r="R56" i="8"/>
  <c r="F56" i="8" s="1"/>
  <c r="L56" i="8"/>
  <c r="H56" i="8"/>
  <c r="D78" i="12" l="1"/>
  <c r="E79" i="6"/>
  <c r="D79" i="12"/>
  <c r="O80" i="5"/>
  <c r="I81" i="5"/>
  <c r="M41" i="8"/>
  <c r="M44" i="8"/>
  <c r="M50" i="8"/>
  <c r="M38" i="8"/>
  <c r="M35" i="8"/>
  <c r="M47" i="8"/>
  <c r="M53" i="8"/>
  <c r="P56" i="8"/>
  <c r="N56" i="8"/>
  <c r="O56" i="8"/>
  <c r="F57" i="8"/>
  <c r="G57" i="8"/>
  <c r="G56" i="8"/>
  <c r="I57" i="8" s="1"/>
  <c r="R58" i="8"/>
  <c r="E60" i="8"/>
  <c r="I82" i="5" l="1"/>
  <c r="O81" i="5"/>
  <c r="D80" i="12"/>
  <c r="E80" i="6"/>
  <c r="I59" i="8"/>
  <c r="L59" i="8"/>
  <c r="H59" i="8"/>
  <c r="R59" i="8"/>
  <c r="E81" i="6" l="1"/>
  <c r="D81" i="12"/>
  <c r="I83" i="5"/>
  <c r="O82" i="5"/>
  <c r="I85" i="5"/>
  <c r="I86" i="5" s="1"/>
  <c r="I87" i="5" s="1"/>
  <c r="I88" i="5" s="1"/>
  <c r="I89" i="5" s="1"/>
  <c r="O89" i="5" s="1"/>
  <c r="M56" i="8"/>
  <c r="Q56" i="8" s="1"/>
  <c r="C56" i="8" s="1"/>
  <c r="N59" i="8"/>
  <c r="P59" i="8"/>
  <c r="O59" i="8"/>
  <c r="F60" i="8"/>
  <c r="F59" i="8"/>
  <c r="R61" i="8"/>
  <c r="E63" i="8"/>
  <c r="G59" i="8"/>
  <c r="I60" i="8" s="1"/>
  <c r="G60" i="8"/>
  <c r="O86" i="5" l="1"/>
  <c r="E86" i="6" s="1"/>
  <c r="D82" i="12"/>
  <c r="E82" i="6"/>
  <c r="I84" i="5"/>
  <c r="O84" i="5" s="1"/>
  <c r="D84" i="12" s="1"/>
  <c r="O83" i="5"/>
  <c r="I90" i="5"/>
  <c r="I91" i="5" s="1"/>
  <c r="O88" i="5"/>
  <c r="E88" i="6" s="1"/>
  <c r="O87" i="5"/>
  <c r="E87" i="6" s="1"/>
  <c r="E89" i="6"/>
  <c r="D89" i="12"/>
  <c r="X58" i="8"/>
  <c r="X56" i="8" s="1"/>
  <c r="AC58" i="8"/>
  <c r="AC56" i="8" s="1"/>
  <c r="U58" i="8"/>
  <c r="U56" i="8" s="1"/>
  <c r="AE58" i="8"/>
  <c r="AE56" i="8" s="1"/>
  <c r="V58" i="8"/>
  <c r="V56" i="8" s="1"/>
  <c r="AA58" i="8"/>
  <c r="AA56" i="8" s="1"/>
  <c r="AD58" i="8"/>
  <c r="AD56" i="8" s="1"/>
  <c r="W58" i="8"/>
  <c r="W56" i="8" s="1"/>
  <c r="AB58" i="8"/>
  <c r="AB56" i="8" s="1"/>
  <c r="Z58" i="8"/>
  <c r="Z56" i="8" s="1"/>
  <c r="T58" i="8"/>
  <c r="T56" i="8" s="1"/>
  <c r="Y58" i="8"/>
  <c r="Y56" i="8" s="1"/>
  <c r="D58" i="8"/>
  <c r="D56" i="8" s="1"/>
  <c r="E58" i="8"/>
  <c r="B56" i="8"/>
  <c r="R62" i="8"/>
  <c r="F63" i="8" s="1"/>
  <c r="I62" i="8"/>
  <c r="L62" i="8"/>
  <c r="H62" i="8"/>
  <c r="D86" i="12" l="1"/>
  <c r="E83" i="6"/>
  <c r="D83" i="12"/>
  <c r="E84" i="6"/>
  <c r="O90" i="5"/>
  <c r="E90" i="6" s="1"/>
  <c r="D88" i="12"/>
  <c r="M59" i="8"/>
  <c r="Q59" i="8" s="1"/>
  <c r="D61" i="8" s="1"/>
  <c r="D59" i="8" s="1"/>
  <c r="I92" i="5"/>
  <c r="I93" i="5" s="1"/>
  <c r="I94" i="5" s="1"/>
  <c r="I95" i="5" s="1"/>
  <c r="I96" i="5" s="1"/>
  <c r="O91" i="5"/>
  <c r="D87" i="12"/>
  <c r="O62" i="8"/>
  <c r="P62" i="8"/>
  <c r="N62" i="8"/>
  <c r="F62" i="8"/>
  <c r="E66" i="8"/>
  <c r="R64" i="8"/>
  <c r="G62" i="8"/>
  <c r="I63" i="8" s="1"/>
  <c r="G63" i="8"/>
  <c r="D90" i="12" l="1"/>
  <c r="AB61" i="8"/>
  <c r="AB59" i="8" s="1"/>
  <c r="X61" i="8"/>
  <c r="X59" i="8" s="1"/>
  <c r="AD61" i="8"/>
  <c r="AD59" i="8" s="1"/>
  <c r="V61" i="8"/>
  <c r="V59" i="8" s="1"/>
  <c r="E61" i="8"/>
  <c r="U61" i="8"/>
  <c r="U59" i="8" s="1"/>
  <c r="T61" i="8"/>
  <c r="T59" i="8" s="1"/>
  <c r="AC61" i="8"/>
  <c r="AC59" i="8" s="1"/>
  <c r="W61" i="8"/>
  <c r="W59" i="8" s="1"/>
  <c r="Z61" i="8"/>
  <c r="Z59" i="8" s="1"/>
  <c r="AE61" i="8"/>
  <c r="AE59" i="8" s="1"/>
  <c r="AA61" i="8"/>
  <c r="AA59" i="8" s="1"/>
  <c r="Y61" i="8"/>
  <c r="Y59" i="8" s="1"/>
  <c r="B59" i="8"/>
  <c r="C59" i="8"/>
  <c r="O95" i="5"/>
  <c r="D95" i="12" s="1"/>
  <c r="O94" i="5"/>
  <c r="D91" i="12"/>
  <c r="E91" i="6"/>
  <c r="I97" i="5"/>
  <c r="O96" i="5"/>
  <c r="I65" i="8"/>
  <c r="H65" i="8"/>
  <c r="L65" i="8"/>
  <c r="R65" i="8"/>
  <c r="F65" i="8" s="1"/>
  <c r="E95" i="6" l="1"/>
  <c r="M62" i="8"/>
  <c r="Q62" i="8" s="1"/>
  <c r="E64" i="8" s="1"/>
  <c r="D94" i="12"/>
  <c r="E94" i="6"/>
  <c r="D96" i="12"/>
  <c r="E96" i="6"/>
  <c r="I98" i="5"/>
  <c r="O97" i="5"/>
  <c r="N65" i="8"/>
  <c r="O65" i="8"/>
  <c r="P65" i="8"/>
  <c r="E69" i="8"/>
  <c r="R67" i="8"/>
  <c r="G66" i="8"/>
  <c r="G65" i="8"/>
  <c r="I66" i="8" s="1"/>
  <c r="F66" i="8"/>
  <c r="I99" i="5" l="1"/>
  <c r="I100" i="5" s="1"/>
  <c r="I101" i="5" s="1"/>
  <c r="I102" i="5" s="1"/>
  <c r="I103" i="5" s="1"/>
  <c r="O98" i="5"/>
  <c r="W64" i="8"/>
  <c r="W62" i="8" s="1"/>
  <c r="AC64" i="8"/>
  <c r="AC62" i="8" s="1"/>
  <c r="AD64" i="8"/>
  <c r="AD62" i="8" s="1"/>
  <c r="V64" i="8"/>
  <c r="V62" i="8" s="1"/>
  <c r="AE64" i="8"/>
  <c r="AE62" i="8" s="1"/>
  <c r="Z64" i="8"/>
  <c r="Z62" i="8" s="1"/>
  <c r="X64" i="8"/>
  <c r="X62" i="8" s="1"/>
  <c r="D64" i="8"/>
  <c r="D62" i="8" s="1"/>
  <c r="AA64" i="8"/>
  <c r="AA62" i="8" s="1"/>
  <c r="U64" i="8"/>
  <c r="U62" i="8" s="1"/>
  <c r="C62" i="8"/>
  <c r="Y64" i="8"/>
  <c r="Y62" i="8" s="1"/>
  <c r="AB64" i="8"/>
  <c r="AB62" i="8" s="1"/>
  <c r="B62" i="8"/>
  <c r="T64" i="8"/>
  <c r="T62" i="8" s="1"/>
  <c r="E97" i="6"/>
  <c r="D97" i="12"/>
  <c r="L68" i="8"/>
  <c r="M65" i="8" s="1"/>
  <c r="Q65" i="8" s="1"/>
  <c r="C65" i="8" s="1"/>
  <c r="I68" i="8"/>
  <c r="H68" i="8"/>
  <c r="R68" i="8"/>
  <c r="F69" i="8" s="1"/>
  <c r="O102" i="5" l="1"/>
  <c r="E102" i="6" s="1"/>
  <c r="E98" i="6"/>
  <c r="D98" i="12"/>
  <c r="I104" i="5"/>
  <c r="O103" i="5"/>
  <c r="O68" i="8"/>
  <c r="P68" i="8"/>
  <c r="N68" i="8"/>
  <c r="B65" i="8"/>
  <c r="E67" i="8"/>
  <c r="X67" i="8"/>
  <c r="X65" i="8" s="1"/>
  <c r="U67" i="8"/>
  <c r="U65" i="8" s="1"/>
  <c r="AC67" i="8"/>
  <c r="AC65" i="8" s="1"/>
  <c r="AA67" i="8"/>
  <c r="AA65" i="8" s="1"/>
  <c r="T67" i="8"/>
  <c r="T65" i="8" s="1"/>
  <c r="W67" i="8"/>
  <c r="W65" i="8" s="1"/>
  <c r="AB67" i="8"/>
  <c r="AB65" i="8" s="1"/>
  <c r="Y67" i="8"/>
  <c r="Y65" i="8" s="1"/>
  <c r="V67" i="8"/>
  <c r="V65" i="8" s="1"/>
  <c r="AD67" i="8"/>
  <c r="AD65" i="8" s="1"/>
  <c r="AE67" i="8"/>
  <c r="AE65" i="8" s="1"/>
  <c r="Z67" i="8"/>
  <c r="Z65" i="8" s="1"/>
  <c r="D67" i="8"/>
  <c r="D65" i="8" s="1"/>
  <c r="F68" i="8"/>
  <c r="G69" i="8"/>
  <c r="G68" i="8"/>
  <c r="I69" i="8" s="1"/>
  <c r="E72" i="8"/>
  <c r="R70" i="8"/>
  <c r="D102" i="12" l="1"/>
  <c r="D103" i="12"/>
  <c r="E103" i="6"/>
  <c r="I105" i="5"/>
  <c r="O104" i="5"/>
  <c r="R71" i="8"/>
  <c r="F72" i="8" s="1"/>
  <c r="L71" i="8"/>
  <c r="M68" i="8" s="1"/>
  <c r="Q68" i="8" s="1"/>
  <c r="B68" i="8" s="1"/>
  <c r="I71" i="8"/>
  <c r="H71" i="8"/>
  <c r="I106" i="5" l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105" i="5"/>
  <c r="E104" i="6"/>
  <c r="D104" i="12"/>
  <c r="P71" i="8"/>
  <c r="O71" i="8"/>
  <c r="N71" i="8"/>
  <c r="E70" i="8"/>
  <c r="C68" i="8"/>
  <c r="G72" i="8"/>
  <c r="G71" i="8"/>
  <c r="I72" i="8" s="1"/>
  <c r="V70" i="8"/>
  <c r="V68" i="8" s="1"/>
  <c r="AA70" i="8"/>
  <c r="AA68" i="8" s="1"/>
  <c r="D70" i="8"/>
  <c r="D68" i="8" s="1"/>
  <c r="W70" i="8"/>
  <c r="W68" i="8" s="1"/>
  <c r="AB70" i="8"/>
  <c r="AB68" i="8" s="1"/>
  <c r="Y70" i="8"/>
  <c r="Y68" i="8" s="1"/>
  <c r="AC70" i="8"/>
  <c r="AC68" i="8" s="1"/>
  <c r="F71" i="8"/>
  <c r="R73" i="8"/>
  <c r="E75" i="8"/>
  <c r="AE70" i="8"/>
  <c r="AE68" i="8" s="1"/>
  <c r="AD70" i="8"/>
  <c r="AD68" i="8" s="1"/>
  <c r="U70" i="8"/>
  <c r="U68" i="8" s="1"/>
  <c r="Z70" i="8"/>
  <c r="Z68" i="8" s="1"/>
  <c r="T70" i="8"/>
  <c r="T68" i="8" s="1"/>
  <c r="X70" i="8"/>
  <c r="X68" i="8" s="1"/>
  <c r="O119" i="5" l="1"/>
  <c r="E119" i="6" s="1"/>
  <c r="E105" i="6"/>
  <c r="D105" i="12"/>
  <c r="L74" i="8"/>
  <c r="M71" i="8" s="1"/>
  <c r="Q71" i="8" s="1"/>
  <c r="C71" i="8" s="1"/>
  <c r="H74" i="8"/>
  <c r="I74" i="8"/>
  <c r="R74" i="8"/>
  <c r="F75" i="8" s="1"/>
  <c r="P74" i="8" l="1"/>
  <c r="D119" i="12"/>
  <c r="O74" i="8"/>
  <c r="N74" i="8"/>
  <c r="AD73" i="8"/>
  <c r="AD71" i="8" s="1"/>
  <c r="E73" i="8"/>
  <c r="B71" i="8"/>
  <c r="X73" i="8"/>
  <c r="X71" i="8" s="1"/>
  <c r="V73" i="8"/>
  <c r="V71" i="8" s="1"/>
  <c r="Y73" i="8"/>
  <c r="Y71" i="8" s="1"/>
  <c r="D73" i="8"/>
  <c r="D71" i="8" s="1"/>
  <c r="AB73" i="8"/>
  <c r="AB71" i="8" s="1"/>
  <c r="F74" i="8"/>
  <c r="AA73" i="8"/>
  <c r="AA71" i="8" s="1"/>
  <c r="T73" i="8"/>
  <c r="T71" i="8" s="1"/>
  <c r="W73" i="8"/>
  <c r="W71" i="8" s="1"/>
  <c r="AE73" i="8"/>
  <c r="AE71" i="8" s="1"/>
  <c r="Z73" i="8"/>
  <c r="Z71" i="8" s="1"/>
  <c r="AC73" i="8"/>
  <c r="AC71" i="8" s="1"/>
  <c r="E78" i="8"/>
  <c r="R76" i="8"/>
  <c r="U73" i="8"/>
  <c r="U71" i="8" s="1"/>
  <c r="G75" i="8"/>
  <c r="G74" i="8"/>
  <c r="I75" i="8" s="1"/>
  <c r="H77" i="8" l="1"/>
  <c r="R77" i="8"/>
  <c r="F77" i="8" s="1"/>
  <c r="L77" i="8"/>
  <c r="M74" i="8" s="1"/>
  <c r="Q74" i="8" s="1"/>
  <c r="B74" i="8" s="1"/>
  <c r="N77" i="8"/>
  <c r="I77" i="8"/>
  <c r="O77" i="8" l="1"/>
  <c r="P77" i="8"/>
  <c r="E76" i="8"/>
  <c r="C74" i="8"/>
  <c r="W76" i="8"/>
  <c r="W74" i="8" s="1"/>
  <c r="V76" i="8"/>
  <c r="V74" i="8" s="1"/>
  <c r="AD76" i="8"/>
  <c r="AD74" i="8" s="1"/>
  <c r="Y76" i="8"/>
  <c r="Y74" i="8" s="1"/>
  <c r="U76" i="8"/>
  <c r="U74" i="8" s="1"/>
  <c r="AA76" i="8"/>
  <c r="AA74" i="8" s="1"/>
  <c r="D76" i="8"/>
  <c r="D74" i="8" s="1"/>
  <c r="Z76" i="8"/>
  <c r="Z74" i="8" s="1"/>
  <c r="AC76" i="8"/>
  <c r="AC74" i="8" s="1"/>
  <c r="AB76" i="8"/>
  <c r="AB74" i="8" s="1"/>
  <c r="X76" i="8"/>
  <c r="X74" i="8" s="1"/>
  <c r="T76" i="8"/>
  <c r="T74" i="8" s="1"/>
  <c r="AE76" i="8"/>
  <c r="AE74" i="8" s="1"/>
  <c r="F78" i="8"/>
  <c r="G78" i="8"/>
  <c r="G77" i="8"/>
  <c r="I78" i="8" s="1"/>
  <c r="R79" i="8"/>
  <c r="E81" i="8"/>
  <c r="R80" i="8" l="1"/>
  <c r="I80" i="8"/>
  <c r="N80" i="8"/>
  <c r="H80" i="8"/>
  <c r="P80" i="8"/>
  <c r="M80" i="8"/>
  <c r="O80" i="8"/>
  <c r="L80" i="8"/>
  <c r="M77" i="8" s="1"/>
  <c r="Q77" i="8" s="1"/>
  <c r="E79" i="8" s="1"/>
  <c r="B77" i="8" l="1"/>
  <c r="C77" i="8"/>
  <c r="AB79" i="8"/>
  <c r="AB77" i="8" s="1"/>
  <c r="Z79" i="8"/>
  <c r="Z77" i="8" s="1"/>
  <c r="F80" i="8"/>
  <c r="W79" i="8"/>
  <c r="W77" i="8" s="1"/>
  <c r="AC79" i="8"/>
  <c r="AC77" i="8" s="1"/>
  <c r="X79" i="8"/>
  <c r="X77" i="8" s="1"/>
  <c r="U79" i="8"/>
  <c r="U77" i="8" s="1"/>
  <c r="D79" i="8"/>
  <c r="D77" i="8" s="1"/>
  <c r="T79" i="8"/>
  <c r="T77" i="8" s="1"/>
  <c r="AE79" i="8"/>
  <c r="AE77" i="8" s="1"/>
  <c r="AD79" i="8"/>
  <c r="AD77" i="8" s="1"/>
  <c r="Y79" i="8"/>
  <c r="Y77" i="8" s="1"/>
  <c r="V79" i="8"/>
  <c r="V77" i="8" s="1"/>
  <c r="AA79" i="8"/>
  <c r="AA77" i="8" s="1"/>
  <c r="R82" i="8"/>
  <c r="Q80" i="8"/>
  <c r="E84" i="8"/>
  <c r="F81" i="8"/>
  <c r="G80" i="8"/>
  <c r="I81" i="8" s="1"/>
  <c r="G81" i="8"/>
  <c r="E82" i="8" l="1"/>
  <c r="B80" i="8"/>
  <c r="C80" i="8"/>
  <c r="R83" i="8"/>
  <c r="AA82" i="8" s="1"/>
  <c r="AA80" i="8" s="1"/>
  <c r="H83" i="8"/>
  <c r="N83" i="8"/>
  <c r="L83" i="8"/>
  <c r="M83" i="8"/>
  <c r="P83" i="8"/>
  <c r="O83" i="8"/>
  <c r="I83" i="8"/>
  <c r="F83" i="8" l="1"/>
  <c r="F84" i="8"/>
  <c r="Q83" i="8"/>
  <c r="E87" i="8"/>
  <c r="R85" i="8"/>
  <c r="AB82" i="8"/>
  <c r="AB80" i="8" s="1"/>
  <c r="X82" i="8"/>
  <c r="X80" i="8" s="1"/>
  <c r="Y82" i="8"/>
  <c r="Y80" i="8" s="1"/>
  <c r="AD82" i="8"/>
  <c r="AD80" i="8" s="1"/>
  <c r="AC82" i="8"/>
  <c r="AC80" i="8" s="1"/>
  <c r="U82" i="8"/>
  <c r="U80" i="8" s="1"/>
  <c r="G84" i="8"/>
  <c r="G83" i="8"/>
  <c r="I84" i="8" s="1"/>
  <c r="AE82" i="8"/>
  <c r="AE80" i="8" s="1"/>
  <c r="D82" i="8"/>
  <c r="D80" i="8" s="1"/>
  <c r="W82" i="8"/>
  <c r="W80" i="8" s="1"/>
  <c r="Z82" i="8"/>
  <c r="Z80" i="8" s="1"/>
  <c r="V82" i="8"/>
  <c r="V80" i="8" s="1"/>
  <c r="T82" i="8"/>
  <c r="T80" i="8" s="1"/>
  <c r="R86" i="8" l="1"/>
  <c r="F87" i="8" s="1"/>
  <c r="L86" i="8"/>
  <c r="P86" i="8"/>
  <c r="N86" i="8"/>
  <c r="H86" i="8"/>
  <c r="O86" i="8"/>
  <c r="M86" i="8"/>
  <c r="I86" i="8"/>
  <c r="E85" i="8"/>
  <c r="B83" i="8"/>
  <c r="C83" i="8"/>
  <c r="AE85" i="8" l="1"/>
  <c r="AE83" i="8" s="1"/>
  <c r="U85" i="8"/>
  <c r="U83" i="8" s="1"/>
  <c r="V85" i="8"/>
  <c r="V83" i="8" s="1"/>
  <c r="AA85" i="8"/>
  <c r="AA83" i="8" s="1"/>
  <c r="F86" i="8"/>
  <c r="X85" i="8"/>
  <c r="X83" i="8" s="1"/>
  <c r="T85" i="8"/>
  <c r="T83" i="8" s="1"/>
  <c r="Z85" i="8"/>
  <c r="Z83" i="8" s="1"/>
  <c r="AC85" i="8"/>
  <c r="AC83" i="8" s="1"/>
  <c r="Y85" i="8"/>
  <c r="Y83" i="8" s="1"/>
  <c r="AB85" i="8"/>
  <c r="AB83" i="8" s="1"/>
  <c r="W85" i="8"/>
  <c r="W83" i="8" s="1"/>
  <c r="D85" i="8"/>
  <c r="D83" i="8" s="1"/>
  <c r="AD85" i="8"/>
  <c r="AD83" i="8" s="1"/>
  <c r="Q86" i="8"/>
  <c r="E90" i="8"/>
  <c r="R88" i="8"/>
  <c r="G87" i="8"/>
  <c r="G86" i="8"/>
  <c r="I87" i="8" s="1"/>
  <c r="O89" i="8" l="1"/>
  <c r="M89" i="8"/>
  <c r="L89" i="8"/>
  <c r="I89" i="8"/>
  <c r="R89" i="8"/>
  <c r="T88" i="8" s="1"/>
  <c r="T86" i="8" s="1"/>
  <c r="P89" i="8"/>
  <c r="H89" i="8"/>
  <c r="N89" i="8"/>
  <c r="C86" i="8"/>
  <c r="B86" i="8"/>
  <c r="E88" i="8"/>
  <c r="U88" i="8" l="1"/>
  <c r="U86" i="8" s="1"/>
  <c r="W88" i="8"/>
  <c r="W86" i="8" s="1"/>
  <c r="V88" i="8"/>
  <c r="V86" i="8" s="1"/>
  <c r="Y88" i="8"/>
  <c r="Y86" i="8" s="1"/>
  <c r="D88" i="8"/>
  <c r="D86" i="8" s="1"/>
  <c r="AA88" i="8"/>
  <c r="AA86" i="8" s="1"/>
  <c r="AB88" i="8"/>
  <c r="AB86" i="8" s="1"/>
  <c r="X88" i="8"/>
  <c r="X86" i="8" s="1"/>
  <c r="F90" i="8"/>
  <c r="Z88" i="8"/>
  <c r="Z86" i="8" s="1"/>
  <c r="AC88" i="8"/>
  <c r="AC86" i="8" s="1"/>
  <c r="AE88" i="8"/>
  <c r="AE86" i="8" s="1"/>
  <c r="AD88" i="8"/>
  <c r="AD86" i="8" s="1"/>
  <c r="F89" i="8"/>
  <c r="G90" i="8"/>
  <c r="G89" i="8"/>
  <c r="I90" i="8" s="1"/>
  <c r="R91" i="8"/>
  <c r="Q89" i="8"/>
  <c r="E93" i="8"/>
  <c r="I92" i="8" l="1"/>
  <c r="O92" i="8"/>
  <c r="M92" i="8"/>
  <c r="R92" i="8"/>
  <c r="W91" i="8" s="1"/>
  <c r="W89" i="8" s="1"/>
  <c r="L92" i="8"/>
  <c r="P92" i="8"/>
  <c r="H92" i="8"/>
  <c r="N92" i="8"/>
  <c r="B89" i="8"/>
  <c r="E91" i="8"/>
  <c r="C89" i="8"/>
  <c r="Z91" i="8" l="1"/>
  <c r="Z89" i="8" s="1"/>
  <c r="D91" i="8"/>
  <c r="D89" i="8" s="1"/>
  <c r="V91" i="8"/>
  <c r="V89" i="8" s="1"/>
  <c r="F93" i="8"/>
  <c r="F92" i="8"/>
  <c r="AC91" i="8"/>
  <c r="AC89" i="8" s="1"/>
  <c r="Y91" i="8"/>
  <c r="Y89" i="8" s="1"/>
  <c r="AA91" i="8"/>
  <c r="AA89" i="8" s="1"/>
  <c r="U91" i="8"/>
  <c r="U89" i="8" s="1"/>
  <c r="AE91" i="8"/>
  <c r="AE89" i="8" s="1"/>
  <c r="AD91" i="8"/>
  <c r="AD89" i="8" s="1"/>
  <c r="AB91" i="8"/>
  <c r="AB89" i="8" s="1"/>
  <c r="T91" i="8"/>
  <c r="T89" i="8" s="1"/>
  <c r="X91" i="8"/>
  <c r="X89" i="8" s="1"/>
  <c r="G93" i="8"/>
  <c r="G92" i="8"/>
  <c r="I93" i="8" s="1"/>
  <c r="Q92" i="8"/>
  <c r="R94" i="8"/>
  <c r="E96" i="8"/>
  <c r="M95" i="8" l="1"/>
  <c r="L95" i="8"/>
  <c r="O95" i="8"/>
  <c r="I95" i="8"/>
  <c r="P95" i="8"/>
  <c r="H95" i="8"/>
  <c r="N95" i="8"/>
  <c r="R95" i="8"/>
  <c r="AA94" i="8" s="1"/>
  <c r="AA92" i="8" s="1"/>
  <c r="E94" i="8"/>
  <c r="C92" i="8"/>
  <c r="B92" i="8"/>
  <c r="Y94" i="8" l="1"/>
  <c r="Y92" i="8" s="1"/>
  <c r="V94" i="8"/>
  <c r="V92" i="8" s="1"/>
  <c r="U94" i="8"/>
  <c r="U92" i="8" s="1"/>
  <c r="D94" i="8"/>
  <c r="D92" i="8" s="1"/>
  <c r="AB94" i="8"/>
  <c r="AB92" i="8" s="1"/>
  <c r="AD94" i="8"/>
  <c r="AD92" i="8" s="1"/>
  <c r="X94" i="8"/>
  <c r="X92" i="8" s="1"/>
  <c r="Z94" i="8"/>
  <c r="Z92" i="8" s="1"/>
  <c r="AC94" i="8"/>
  <c r="AC92" i="8" s="1"/>
  <c r="AE94" i="8"/>
  <c r="AE92" i="8" s="1"/>
  <c r="T94" i="8"/>
  <c r="T92" i="8" s="1"/>
  <c r="W94" i="8"/>
  <c r="W92" i="8" s="1"/>
  <c r="Q95" i="8"/>
  <c r="R97" i="8"/>
  <c r="E99" i="8"/>
  <c r="F95" i="8"/>
  <c r="G95" i="8"/>
  <c r="I96" i="8" s="1"/>
  <c r="G96" i="8"/>
  <c r="F96" i="8"/>
  <c r="R98" i="8" l="1"/>
  <c r="AA97" i="8" s="1"/>
  <c r="AA95" i="8" s="1"/>
  <c r="M98" i="8"/>
  <c r="N98" i="8"/>
  <c r="L98" i="8"/>
  <c r="H98" i="8"/>
  <c r="I98" i="8"/>
  <c r="O98" i="8"/>
  <c r="P98" i="8"/>
  <c r="E97" i="8"/>
  <c r="C95" i="8"/>
  <c r="B95" i="8"/>
  <c r="Z97" i="8" l="1"/>
  <c r="Z95" i="8" s="1"/>
  <c r="V97" i="8"/>
  <c r="V95" i="8" s="1"/>
  <c r="D97" i="8"/>
  <c r="D95" i="8" s="1"/>
  <c r="F98" i="8"/>
  <c r="T97" i="8"/>
  <c r="T95" i="8" s="1"/>
  <c r="U97" i="8"/>
  <c r="U95" i="8" s="1"/>
  <c r="AC97" i="8"/>
  <c r="AC95" i="8" s="1"/>
  <c r="AE97" i="8"/>
  <c r="AE95" i="8" s="1"/>
  <c r="Y97" i="8"/>
  <c r="Y95" i="8" s="1"/>
  <c r="AB97" i="8"/>
  <c r="AB95" i="8" s="1"/>
  <c r="X97" i="8"/>
  <c r="X95" i="8" s="1"/>
  <c r="W97" i="8"/>
  <c r="W95" i="8" s="1"/>
  <c r="AD97" i="8"/>
  <c r="AD95" i="8" s="1"/>
  <c r="R100" i="8"/>
  <c r="Q98" i="8"/>
  <c r="E102" i="8"/>
  <c r="F99" i="8"/>
  <c r="G99" i="8"/>
  <c r="G98" i="8"/>
  <c r="I99" i="8" s="1"/>
  <c r="C98" i="8" l="1"/>
  <c r="E100" i="8"/>
  <c r="B98" i="8"/>
  <c r="I101" i="8"/>
  <c r="M101" i="8"/>
  <c r="P101" i="8"/>
  <c r="H101" i="8"/>
  <c r="R101" i="8"/>
  <c r="X100" i="8" s="1"/>
  <c r="X98" i="8" s="1"/>
  <c r="N101" i="8"/>
  <c r="O101" i="8"/>
  <c r="L101" i="8"/>
  <c r="D100" i="8" l="1"/>
  <c r="D98" i="8" s="1"/>
  <c r="F101" i="8"/>
  <c r="U100" i="8"/>
  <c r="U98" i="8" s="1"/>
  <c r="AD100" i="8"/>
  <c r="AD98" i="8" s="1"/>
  <c r="T100" i="8"/>
  <c r="T98" i="8" s="1"/>
  <c r="AE100" i="8"/>
  <c r="AE98" i="8" s="1"/>
  <c r="Z100" i="8"/>
  <c r="Z98" i="8" s="1"/>
  <c r="Q101" i="8"/>
  <c r="R103" i="8"/>
  <c r="E105" i="8"/>
  <c r="G101" i="8"/>
  <c r="I102" i="8" s="1"/>
  <c r="G102" i="8"/>
  <c r="F102" i="8"/>
  <c r="Y100" i="8"/>
  <c r="Y98" i="8" s="1"/>
  <c r="W100" i="8"/>
  <c r="W98" i="8" s="1"/>
  <c r="AB100" i="8"/>
  <c r="AB98" i="8" s="1"/>
  <c r="AC100" i="8"/>
  <c r="AC98" i="8" s="1"/>
  <c r="V100" i="8"/>
  <c r="V98" i="8" s="1"/>
  <c r="AA100" i="8"/>
  <c r="AA98" i="8" s="1"/>
  <c r="N104" i="8" l="1"/>
  <c r="H104" i="8"/>
  <c r="L104" i="8"/>
  <c r="I104" i="8"/>
  <c r="R104" i="8"/>
  <c r="F105" i="8" s="1"/>
  <c r="M104" i="8"/>
  <c r="P104" i="8"/>
  <c r="O104" i="8"/>
  <c r="B101" i="8"/>
  <c r="C101" i="8"/>
  <c r="E103" i="8"/>
  <c r="AE103" i="8"/>
  <c r="AE101" i="8" s="1"/>
  <c r="AA103" i="8"/>
  <c r="AA101" i="8" s="1"/>
  <c r="Z103" i="8" l="1"/>
  <c r="Z101" i="8" s="1"/>
  <c r="Y103" i="8"/>
  <c r="Y101" i="8" s="1"/>
  <c r="T103" i="8"/>
  <c r="T101" i="8" s="1"/>
  <c r="AC103" i="8"/>
  <c r="AC101" i="8" s="1"/>
  <c r="D103" i="8"/>
  <c r="D101" i="8" s="1"/>
  <c r="W103" i="8"/>
  <c r="W101" i="8" s="1"/>
  <c r="U103" i="8"/>
  <c r="U101" i="8" s="1"/>
  <c r="AD103" i="8"/>
  <c r="AD101" i="8" s="1"/>
  <c r="X103" i="8"/>
  <c r="X101" i="8" s="1"/>
  <c r="AB103" i="8"/>
  <c r="AB101" i="8" s="1"/>
  <c r="V103" i="8"/>
  <c r="V101" i="8" s="1"/>
  <c r="F104" i="8"/>
  <c r="G105" i="8"/>
  <c r="G104" i="8"/>
  <c r="I105" i="8" s="1"/>
  <c r="Q104" i="8"/>
  <c r="R106" i="8"/>
  <c r="E108" i="8"/>
  <c r="M107" i="8" l="1"/>
  <c r="O107" i="8"/>
  <c r="L107" i="8"/>
  <c r="H107" i="8"/>
  <c r="N107" i="8"/>
  <c r="P107" i="8"/>
  <c r="R107" i="8"/>
  <c r="F108" i="8" s="1"/>
  <c r="I107" i="8"/>
  <c r="B104" i="8"/>
  <c r="E106" i="8"/>
  <c r="C104" i="8"/>
  <c r="D106" i="8" l="1"/>
  <c r="D104" i="8" s="1"/>
  <c r="AB106" i="8"/>
  <c r="AB104" i="8" s="1"/>
  <c r="T106" i="8"/>
  <c r="T104" i="8" s="1"/>
  <c r="V106" i="8"/>
  <c r="V104" i="8" s="1"/>
  <c r="X106" i="8"/>
  <c r="X104" i="8" s="1"/>
  <c r="Z106" i="8"/>
  <c r="Z104" i="8" s="1"/>
  <c r="AC106" i="8"/>
  <c r="AC104" i="8" s="1"/>
  <c r="AE106" i="8"/>
  <c r="AE104" i="8" s="1"/>
  <c r="AA106" i="8"/>
  <c r="AA104" i="8" s="1"/>
  <c r="Y106" i="8"/>
  <c r="Y104" i="8" s="1"/>
  <c r="U106" i="8"/>
  <c r="U104" i="8" s="1"/>
  <c r="W106" i="8"/>
  <c r="W104" i="8" s="1"/>
  <c r="AD106" i="8"/>
  <c r="AD104" i="8" s="1"/>
  <c r="F107" i="8"/>
  <c r="G108" i="8"/>
  <c r="G107" i="8"/>
  <c r="I108" i="8" s="1"/>
  <c r="R109" i="8"/>
  <c r="Q107" i="8"/>
  <c r="E111" i="8"/>
  <c r="P110" i="8" l="1"/>
  <c r="N110" i="8"/>
  <c r="R110" i="8"/>
  <c r="F111" i="8" s="1"/>
  <c r="O110" i="8"/>
  <c r="H110" i="8"/>
  <c r="I110" i="8"/>
  <c r="L110" i="8"/>
  <c r="M110" i="8"/>
  <c r="E109" i="8"/>
  <c r="B107" i="8"/>
  <c r="C107" i="8"/>
  <c r="AC109" i="8" l="1"/>
  <c r="AC107" i="8" s="1"/>
  <c r="X109" i="8"/>
  <c r="X107" i="8" s="1"/>
  <c r="W109" i="8"/>
  <c r="W107" i="8" s="1"/>
  <c r="AB109" i="8"/>
  <c r="AB107" i="8" s="1"/>
  <c r="V109" i="8"/>
  <c r="V107" i="8" s="1"/>
  <c r="D109" i="8"/>
  <c r="D107" i="8" s="1"/>
  <c r="Y109" i="8"/>
  <c r="Y107" i="8" s="1"/>
  <c r="AA109" i="8"/>
  <c r="AA107" i="8" s="1"/>
  <c r="T109" i="8"/>
  <c r="T107" i="8" s="1"/>
  <c r="Z109" i="8"/>
  <c r="Z107" i="8" s="1"/>
  <c r="AD109" i="8"/>
  <c r="AD107" i="8" s="1"/>
  <c r="U109" i="8"/>
  <c r="U107" i="8" s="1"/>
  <c r="AE109" i="8"/>
  <c r="AE107" i="8" s="1"/>
  <c r="F110" i="8"/>
  <c r="R112" i="8"/>
  <c r="Q110" i="8"/>
  <c r="E114" i="8"/>
  <c r="G111" i="8"/>
  <c r="G110" i="8"/>
  <c r="I111" i="8" s="1"/>
  <c r="B110" i="8" l="1"/>
  <c r="E112" i="8"/>
  <c r="C110" i="8"/>
  <c r="P113" i="8"/>
  <c r="N113" i="8"/>
  <c r="O113" i="8"/>
  <c r="L113" i="8"/>
  <c r="M113" i="8"/>
  <c r="I113" i="8"/>
  <c r="R113" i="8"/>
  <c r="U112" i="8" s="1"/>
  <c r="U110" i="8" s="1"/>
  <c r="H113" i="8"/>
  <c r="F114" i="8" l="1"/>
  <c r="R115" i="8"/>
  <c r="Q113" i="8"/>
  <c r="E117" i="8"/>
  <c r="T112" i="8"/>
  <c r="T110" i="8" s="1"/>
  <c r="W112" i="8"/>
  <c r="W110" i="8" s="1"/>
  <c r="AC112" i="8"/>
  <c r="AC110" i="8" s="1"/>
  <c r="X112" i="8"/>
  <c r="X110" i="8" s="1"/>
  <c r="V112" i="8"/>
  <c r="V110" i="8" s="1"/>
  <c r="AD112" i="8"/>
  <c r="AD110" i="8" s="1"/>
  <c r="F113" i="8"/>
  <c r="G114" i="8"/>
  <c r="G113" i="8"/>
  <c r="I114" i="8" s="1"/>
  <c r="D112" i="8"/>
  <c r="D110" i="8" s="1"/>
  <c r="AB112" i="8"/>
  <c r="AB110" i="8" s="1"/>
  <c r="AA112" i="8"/>
  <c r="AA110" i="8" s="1"/>
  <c r="Z112" i="8"/>
  <c r="Z110" i="8" s="1"/>
  <c r="Y112" i="8"/>
  <c r="Y110" i="8" s="1"/>
  <c r="AE112" i="8"/>
  <c r="AE110" i="8" s="1"/>
  <c r="B113" i="8" l="1"/>
  <c r="C113" i="8"/>
  <c r="E115" i="8"/>
  <c r="M116" i="8"/>
  <c r="L116" i="8"/>
  <c r="P116" i="8"/>
  <c r="R116" i="8"/>
  <c r="H116" i="8"/>
  <c r="O116" i="8"/>
  <c r="N116" i="8"/>
  <c r="I116" i="8"/>
  <c r="F116" i="8" l="1"/>
  <c r="G116" i="8"/>
  <c r="I117" i="8" s="1"/>
  <c r="G117" i="8"/>
  <c r="R118" i="8"/>
  <c r="Q116" i="8"/>
  <c r="E120" i="8"/>
  <c r="U115" i="8"/>
  <c r="U113" i="8" s="1"/>
  <c r="AC115" i="8"/>
  <c r="AC113" i="8" s="1"/>
  <c r="V115" i="8"/>
  <c r="V113" i="8" s="1"/>
  <c r="AA115" i="8"/>
  <c r="AA113" i="8" s="1"/>
  <c r="Y115" i="8"/>
  <c r="Y113" i="8" s="1"/>
  <c r="Z115" i="8"/>
  <c r="Z113" i="8" s="1"/>
  <c r="F117" i="8"/>
  <c r="AE115" i="8"/>
  <c r="AE113" i="8" s="1"/>
  <c r="D115" i="8"/>
  <c r="D113" i="8" s="1"/>
  <c r="AB115" i="8"/>
  <c r="AB113" i="8" s="1"/>
  <c r="X115" i="8"/>
  <c r="X113" i="8" s="1"/>
  <c r="W115" i="8"/>
  <c r="W113" i="8" s="1"/>
  <c r="AD115" i="8"/>
  <c r="AD113" i="8" s="1"/>
  <c r="T115" i="8"/>
  <c r="T113" i="8" s="1"/>
  <c r="O119" i="8" l="1"/>
  <c r="H119" i="8"/>
  <c r="N119" i="8"/>
  <c r="R119" i="8"/>
  <c r="F119" i="8" s="1"/>
  <c r="L119" i="8"/>
  <c r="I119" i="8"/>
  <c r="P119" i="8"/>
  <c r="M119" i="8"/>
  <c r="C116" i="8"/>
  <c r="B116" i="8"/>
  <c r="E118" i="8"/>
  <c r="AB118" i="8" l="1"/>
  <c r="AB116" i="8" s="1"/>
  <c r="U118" i="8"/>
  <c r="U116" i="8" s="1"/>
  <c r="V118" i="8"/>
  <c r="V116" i="8" s="1"/>
  <c r="Y118" i="8"/>
  <c r="Y116" i="8" s="1"/>
  <c r="W118" i="8"/>
  <c r="W116" i="8" s="1"/>
  <c r="AC118" i="8"/>
  <c r="AC116" i="8" s="1"/>
  <c r="AD118" i="8"/>
  <c r="AD116" i="8" s="1"/>
  <c r="Z118" i="8"/>
  <c r="Z116" i="8" s="1"/>
  <c r="X118" i="8"/>
  <c r="X116" i="8" s="1"/>
  <c r="AA118" i="8"/>
  <c r="AA116" i="8" s="1"/>
  <c r="AE118" i="8"/>
  <c r="AE116" i="8" s="1"/>
  <c r="T118" i="8"/>
  <c r="T116" i="8" s="1"/>
  <c r="D118" i="8"/>
  <c r="D116" i="8" s="1"/>
  <c r="Q119" i="8"/>
  <c r="R121" i="8"/>
  <c r="E123" i="8"/>
  <c r="G119" i="8"/>
  <c r="I120" i="8" s="1"/>
  <c r="G120" i="8"/>
  <c r="F120" i="8"/>
  <c r="M122" i="8" l="1"/>
  <c r="P122" i="8"/>
  <c r="N122" i="8"/>
  <c r="I122" i="8"/>
  <c r="L122" i="8"/>
  <c r="O122" i="8"/>
  <c r="H122" i="8"/>
  <c r="R122" i="8"/>
  <c r="F122" i="8" s="1"/>
  <c r="C119" i="8"/>
  <c r="B119" i="8"/>
  <c r="E121" i="8"/>
  <c r="AE121" i="8" l="1"/>
  <c r="AE119" i="8" s="1"/>
  <c r="D121" i="8"/>
  <c r="D119" i="8" s="1"/>
  <c r="U121" i="8"/>
  <c r="U119" i="8" s="1"/>
  <c r="AB121" i="8"/>
  <c r="AB119" i="8" s="1"/>
  <c r="AA121" i="8"/>
  <c r="AA119" i="8" s="1"/>
  <c r="AC121" i="8"/>
  <c r="AC119" i="8" s="1"/>
  <c r="Z121" i="8"/>
  <c r="Z119" i="8" s="1"/>
  <c r="W121" i="8"/>
  <c r="W119" i="8" s="1"/>
  <c r="Y121" i="8"/>
  <c r="Y119" i="8" s="1"/>
  <c r="T121" i="8"/>
  <c r="T119" i="8" s="1"/>
  <c r="X121" i="8"/>
  <c r="X119" i="8" s="1"/>
  <c r="V121" i="8"/>
  <c r="V119" i="8" s="1"/>
  <c r="AD121" i="8"/>
  <c r="AD119" i="8" s="1"/>
  <c r="Q122" i="8"/>
  <c r="R124" i="8"/>
  <c r="E126" i="8"/>
  <c r="G123" i="8"/>
  <c r="G122" i="8"/>
  <c r="I123" i="8" s="1"/>
  <c r="F123" i="8"/>
  <c r="H125" i="8" l="1"/>
  <c r="O125" i="8"/>
  <c r="L125" i="8"/>
  <c r="M125" i="8"/>
  <c r="P125" i="8"/>
  <c r="R125" i="8"/>
  <c r="F125" i="8" s="1"/>
  <c r="I125" i="8"/>
  <c r="N125" i="8"/>
  <c r="B122" i="8"/>
  <c r="C122" i="8"/>
  <c r="E124" i="8"/>
  <c r="AA124" i="8" l="1"/>
  <c r="AA122" i="8" s="1"/>
  <c r="W124" i="8"/>
  <c r="W122" i="8" s="1"/>
  <c r="AB124" i="8"/>
  <c r="AB122" i="8" s="1"/>
  <c r="U124" i="8"/>
  <c r="U122" i="8" s="1"/>
  <c r="D124" i="8"/>
  <c r="D122" i="8" s="1"/>
  <c r="AD124" i="8"/>
  <c r="AD122" i="8" s="1"/>
  <c r="AC124" i="8"/>
  <c r="AC122" i="8" s="1"/>
  <c r="AE124" i="8"/>
  <c r="AE122" i="8" s="1"/>
  <c r="T124" i="8"/>
  <c r="T122" i="8" s="1"/>
  <c r="Z124" i="8"/>
  <c r="Z122" i="8" s="1"/>
  <c r="X124" i="8"/>
  <c r="X122" i="8" s="1"/>
  <c r="Y124" i="8"/>
  <c r="Y122" i="8" s="1"/>
  <c r="V124" i="8"/>
  <c r="V122" i="8" s="1"/>
  <c r="F126" i="8"/>
  <c r="G126" i="8"/>
  <c r="G125" i="8"/>
  <c r="I126" i="8" s="1"/>
  <c r="R127" i="8"/>
  <c r="E129" i="8"/>
  <c r="Q125" i="8"/>
  <c r="B125" i="8" l="1"/>
  <c r="E127" i="8"/>
  <c r="C125" i="8"/>
  <c r="N128" i="8"/>
  <c r="L128" i="8"/>
  <c r="P128" i="8"/>
  <c r="H128" i="8"/>
  <c r="O128" i="8"/>
  <c r="I128" i="8"/>
  <c r="R128" i="8"/>
  <c r="W127" i="8" s="1"/>
  <c r="W125" i="8" s="1"/>
  <c r="M128" i="8"/>
  <c r="AA127" i="8" l="1"/>
  <c r="AA125" i="8" s="1"/>
  <c r="F129" i="8"/>
  <c r="Z127" i="8"/>
  <c r="Z125" i="8" s="1"/>
  <c r="Y127" i="8"/>
  <c r="Y125" i="8" s="1"/>
  <c r="U127" i="8"/>
  <c r="U125" i="8" s="1"/>
  <c r="V127" i="8"/>
  <c r="V125" i="8" s="1"/>
  <c r="AD127" i="8"/>
  <c r="AD125" i="8" s="1"/>
  <c r="Q128" i="8"/>
  <c r="R130" i="8"/>
  <c r="E132" i="8"/>
  <c r="F128" i="8"/>
  <c r="G128" i="8"/>
  <c r="I129" i="8" s="1"/>
  <c r="G129" i="8"/>
  <c r="AB127" i="8"/>
  <c r="AB125" i="8" s="1"/>
  <c r="AE127" i="8"/>
  <c r="AE125" i="8" s="1"/>
  <c r="X127" i="8"/>
  <c r="X125" i="8" s="1"/>
  <c r="D127" i="8"/>
  <c r="D125" i="8" s="1"/>
  <c r="AC127" i="8"/>
  <c r="AC125" i="8" s="1"/>
  <c r="T127" i="8"/>
  <c r="T125" i="8" s="1"/>
  <c r="L131" i="8" l="1"/>
  <c r="O131" i="8"/>
  <c r="N131" i="8"/>
  <c r="M131" i="8"/>
  <c r="R131" i="8"/>
  <c r="AE130" i="8" s="1"/>
  <c r="AE128" i="8" s="1"/>
  <c r="H131" i="8"/>
  <c r="I131" i="8"/>
  <c r="P131" i="8"/>
  <c r="B128" i="8"/>
  <c r="E130" i="8"/>
  <c r="C128" i="8"/>
  <c r="Y130" i="8"/>
  <c r="Y128" i="8" s="1"/>
  <c r="AB130" i="8"/>
  <c r="AB128" i="8" s="1"/>
  <c r="T130" i="8" l="1"/>
  <c r="T128" i="8" s="1"/>
  <c r="X130" i="8"/>
  <c r="X128" i="8" s="1"/>
  <c r="F132" i="8"/>
  <c r="D130" i="8"/>
  <c r="D128" i="8" s="1"/>
  <c r="W130" i="8"/>
  <c r="W128" i="8" s="1"/>
  <c r="U130" i="8"/>
  <c r="U128" i="8" s="1"/>
  <c r="Z130" i="8"/>
  <c r="Z128" i="8" s="1"/>
  <c r="AA130" i="8"/>
  <c r="AA128" i="8" s="1"/>
  <c r="V130" i="8"/>
  <c r="V128" i="8" s="1"/>
  <c r="AC130" i="8"/>
  <c r="AC128" i="8" s="1"/>
  <c r="AD130" i="8"/>
  <c r="AD128" i="8" s="1"/>
  <c r="F131" i="8"/>
  <c r="G131" i="8"/>
  <c r="I132" i="8" s="1"/>
  <c r="G132" i="8"/>
  <c r="Q131" i="8"/>
  <c r="E135" i="8"/>
  <c r="R133" i="8"/>
  <c r="B131" i="8" l="1"/>
  <c r="C131" i="8"/>
  <c r="E133" i="8"/>
  <c r="I134" i="8"/>
  <c r="L134" i="8"/>
  <c r="O134" i="8"/>
  <c r="P134" i="8"/>
  <c r="M134" i="8"/>
  <c r="H134" i="8"/>
  <c r="R134" i="8"/>
  <c r="F134" i="8" s="1"/>
  <c r="N134" i="8"/>
  <c r="F135" i="8" l="1"/>
  <c r="AD133" i="8"/>
  <c r="AD131" i="8" s="1"/>
  <c r="G134" i="8"/>
  <c r="I135" i="8" s="1"/>
  <c r="G135" i="8"/>
  <c r="Y133" i="8"/>
  <c r="Y131" i="8" s="1"/>
  <c r="AE133" i="8"/>
  <c r="AE131" i="8" s="1"/>
  <c r="W133" i="8"/>
  <c r="W131" i="8" s="1"/>
  <c r="AA133" i="8"/>
  <c r="AA131" i="8" s="1"/>
  <c r="AC133" i="8"/>
  <c r="AC131" i="8" s="1"/>
  <c r="AB133" i="8"/>
  <c r="AB131" i="8" s="1"/>
  <c r="Q134" i="8"/>
  <c r="E138" i="8"/>
  <c r="R136" i="8"/>
  <c r="T133" i="8"/>
  <c r="T131" i="8" s="1"/>
  <c r="D133" i="8"/>
  <c r="D131" i="8" s="1"/>
  <c r="Z133" i="8"/>
  <c r="Z131" i="8" s="1"/>
  <c r="U133" i="8"/>
  <c r="U131" i="8" s="1"/>
  <c r="V133" i="8"/>
  <c r="V131" i="8" s="1"/>
  <c r="X133" i="8"/>
  <c r="X131" i="8" s="1"/>
  <c r="C134" i="8" l="1"/>
  <c r="E136" i="8"/>
  <c r="B134" i="8"/>
  <c r="N137" i="8"/>
  <c r="L137" i="8"/>
  <c r="I137" i="8"/>
  <c r="M137" i="8"/>
  <c r="H137" i="8"/>
  <c r="P137" i="8"/>
  <c r="O137" i="8"/>
  <c r="R137" i="8"/>
  <c r="F138" i="8" s="1"/>
  <c r="G137" i="8" l="1"/>
  <c r="I138" i="8" s="1"/>
  <c r="G138" i="8"/>
  <c r="R139" i="8"/>
  <c r="Q137" i="8"/>
  <c r="E141" i="8"/>
  <c r="X136" i="8"/>
  <c r="X134" i="8" s="1"/>
  <c r="U136" i="8"/>
  <c r="U134" i="8" s="1"/>
  <c r="V136" i="8"/>
  <c r="V134" i="8" s="1"/>
  <c r="AB136" i="8"/>
  <c r="AB134" i="8" s="1"/>
  <c r="AA136" i="8"/>
  <c r="AA134" i="8" s="1"/>
  <c r="AE136" i="8"/>
  <c r="AE134" i="8" s="1"/>
  <c r="AD136" i="8"/>
  <c r="AD134" i="8" s="1"/>
  <c r="F137" i="8"/>
  <c r="AC136" i="8"/>
  <c r="AC134" i="8" s="1"/>
  <c r="D136" i="8"/>
  <c r="D134" i="8" s="1"/>
  <c r="T136" i="8"/>
  <c r="T134" i="8" s="1"/>
  <c r="Z136" i="8"/>
  <c r="Z134" i="8" s="1"/>
  <c r="W136" i="8"/>
  <c r="W134" i="8" s="1"/>
  <c r="Y136" i="8"/>
  <c r="Y134" i="8" s="1"/>
  <c r="E139" i="8" l="1"/>
  <c r="C137" i="8"/>
  <c r="B137" i="8"/>
  <c r="P140" i="8"/>
  <c r="N140" i="8"/>
  <c r="H140" i="8"/>
  <c r="M140" i="8"/>
  <c r="L140" i="8"/>
  <c r="R140" i="8"/>
  <c r="AA139" i="8" s="1"/>
  <c r="AA137" i="8" s="1"/>
  <c r="O140" i="8"/>
  <c r="I140" i="8"/>
  <c r="F141" i="8" l="1"/>
  <c r="Q140" i="8"/>
  <c r="E144" i="8"/>
  <c r="R142" i="8"/>
  <c r="AC139" i="8"/>
  <c r="AC137" i="8" s="1"/>
  <c r="AD139" i="8"/>
  <c r="AD137" i="8" s="1"/>
  <c r="V139" i="8"/>
  <c r="V137" i="8" s="1"/>
  <c r="AB139" i="8"/>
  <c r="AB137" i="8" s="1"/>
  <c r="T139" i="8"/>
  <c r="T137" i="8" s="1"/>
  <c r="AE139" i="8"/>
  <c r="AE137" i="8" s="1"/>
  <c r="G140" i="8"/>
  <c r="I141" i="8" s="1"/>
  <c r="G141" i="8"/>
  <c r="F140" i="8"/>
  <c r="U139" i="8"/>
  <c r="U137" i="8" s="1"/>
  <c r="X139" i="8"/>
  <c r="X137" i="8" s="1"/>
  <c r="Z139" i="8"/>
  <c r="Z137" i="8" s="1"/>
  <c r="D139" i="8"/>
  <c r="D137" i="8" s="1"/>
  <c r="Y139" i="8"/>
  <c r="Y137" i="8" s="1"/>
  <c r="W139" i="8"/>
  <c r="W137" i="8" s="1"/>
  <c r="B140" i="8" l="1"/>
  <c r="E142" i="8"/>
  <c r="C140" i="8"/>
  <c r="H143" i="8"/>
  <c r="N143" i="8"/>
  <c r="L143" i="8"/>
  <c r="P143" i="8"/>
  <c r="O143" i="8"/>
  <c r="R143" i="8"/>
  <c r="I143" i="8"/>
  <c r="M143" i="8"/>
  <c r="G144" i="8" l="1"/>
  <c r="G143" i="8"/>
  <c r="I144" i="8" s="1"/>
  <c r="Q143" i="8"/>
  <c r="R145" i="8"/>
  <c r="E147" i="8"/>
  <c r="F143" i="8"/>
  <c r="Y142" i="8"/>
  <c r="Y140" i="8" s="1"/>
  <c r="AD142" i="8"/>
  <c r="AD140" i="8" s="1"/>
  <c r="Z142" i="8"/>
  <c r="Z140" i="8" s="1"/>
  <c r="X142" i="8"/>
  <c r="X140" i="8" s="1"/>
  <c r="AC142" i="8"/>
  <c r="AC140" i="8" s="1"/>
  <c r="AB142" i="8"/>
  <c r="AB140" i="8" s="1"/>
  <c r="F144" i="8"/>
  <c r="AE142" i="8"/>
  <c r="AE140" i="8" s="1"/>
  <c r="AA142" i="8"/>
  <c r="AA140" i="8" s="1"/>
  <c r="D142" i="8"/>
  <c r="D140" i="8" s="1"/>
  <c r="T142" i="8"/>
  <c r="T140" i="8" s="1"/>
  <c r="U142" i="8"/>
  <c r="U140" i="8" s="1"/>
  <c r="V142" i="8"/>
  <c r="V140" i="8" s="1"/>
  <c r="W142" i="8"/>
  <c r="W140" i="8" s="1"/>
  <c r="L146" i="8" l="1"/>
  <c r="N146" i="8"/>
  <c r="H146" i="8"/>
  <c r="P146" i="8"/>
  <c r="M146" i="8"/>
  <c r="O146" i="8"/>
  <c r="I146" i="8"/>
  <c r="R146" i="8"/>
  <c r="F147" i="8" s="1"/>
  <c r="E145" i="8"/>
  <c r="B143" i="8"/>
  <c r="C143" i="8"/>
  <c r="AD145" i="8" l="1"/>
  <c r="AD143" i="8" s="1"/>
  <c r="X145" i="8"/>
  <c r="X143" i="8" s="1"/>
  <c r="Z145" i="8"/>
  <c r="Z143" i="8" s="1"/>
  <c r="AC145" i="8"/>
  <c r="AC143" i="8" s="1"/>
  <c r="U145" i="8"/>
  <c r="U143" i="8" s="1"/>
  <c r="AB145" i="8"/>
  <c r="AB143" i="8" s="1"/>
  <c r="T145" i="8"/>
  <c r="T143" i="8" s="1"/>
  <c r="D145" i="8"/>
  <c r="D143" i="8" s="1"/>
  <c r="Y145" i="8"/>
  <c r="Y143" i="8" s="1"/>
  <c r="V145" i="8"/>
  <c r="V143" i="8" s="1"/>
  <c r="AE145" i="8"/>
  <c r="AE143" i="8" s="1"/>
  <c r="AA145" i="8"/>
  <c r="AA143" i="8" s="1"/>
  <c r="W145" i="8"/>
  <c r="W143" i="8" s="1"/>
  <c r="G147" i="8"/>
  <c r="G146" i="8"/>
  <c r="I147" i="8" s="1"/>
  <c r="F146" i="8"/>
  <c r="E150" i="8"/>
  <c r="R148" i="8"/>
  <c r="Q146" i="8"/>
  <c r="B146" i="8" l="1"/>
  <c r="C146" i="8"/>
  <c r="E148" i="8"/>
  <c r="I149" i="8"/>
  <c r="N149" i="8"/>
  <c r="H149" i="8"/>
  <c r="P149" i="8"/>
  <c r="R149" i="8"/>
  <c r="F150" i="8" s="1"/>
  <c r="M149" i="8"/>
  <c r="L149" i="8"/>
  <c r="O149" i="8"/>
  <c r="Q149" i="8" l="1"/>
  <c r="R151" i="8"/>
  <c r="E153" i="8"/>
  <c r="G149" i="8"/>
  <c r="I150" i="8" s="1"/>
  <c r="G150" i="8"/>
  <c r="AD148" i="8"/>
  <c r="AD146" i="8" s="1"/>
  <c r="AA148" i="8"/>
  <c r="AA146" i="8" s="1"/>
  <c r="U148" i="8"/>
  <c r="U146" i="8" s="1"/>
  <c r="AB148" i="8"/>
  <c r="AB146" i="8" s="1"/>
  <c r="AE148" i="8"/>
  <c r="AE146" i="8" s="1"/>
  <c r="Y148" i="8"/>
  <c r="Y146" i="8" s="1"/>
  <c r="Z148" i="8"/>
  <c r="Z146" i="8" s="1"/>
  <c r="F149" i="8"/>
  <c r="V148" i="8"/>
  <c r="V146" i="8" s="1"/>
  <c r="D148" i="8"/>
  <c r="D146" i="8" s="1"/>
  <c r="W148" i="8"/>
  <c r="W146" i="8" s="1"/>
  <c r="AC148" i="8"/>
  <c r="AC146" i="8" s="1"/>
  <c r="T148" i="8"/>
  <c r="T146" i="8" s="1"/>
  <c r="X148" i="8"/>
  <c r="X146" i="8" s="1"/>
  <c r="L152" i="8" l="1"/>
  <c r="I152" i="8"/>
  <c r="H152" i="8"/>
  <c r="O152" i="8"/>
  <c r="P152" i="8"/>
  <c r="R152" i="8"/>
  <c r="F152" i="8" s="1"/>
  <c r="N152" i="8"/>
  <c r="M152" i="8"/>
  <c r="C149" i="8"/>
  <c r="E151" i="8"/>
  <c r="B149" i="8"/>
  <c r="D151" i="8" l="1"/>
  <c r="D149" i="8" s="1"/>
  <c r="V151" i="8"/>
  <c r="V149" i="8" s="1"/>
  <c r="Y151" i="8"/>
  <c r="Y149" i="8" s="1"/>
  <c r="AD151" i="8"/>
  <c r="AD149" i="8" s="1"/>
  <c r="T151" i="8"/>
  <c r="T149" i="8" s="1"/>
  <c r="AE151" i="8"/>
  <c r="AE149" i="8" s="1"/>
  <c r="AB151" i="8"/>
  <c r="AB149" i="8" s="1"/>
  <c r="AA151" i="8"/>
  <c r="AA149" i="8" s="1"/>
  <c r="U151" i="8"/>
  <c r="U149" i="8" s="1"/>
  <c r="AC151" i="8"/>
  <c r="AC149" i="8" s="1"/>
  <c r="W151" i="8"/>
  <c r="W149" i="8" s="1"/>
  <c r="Z151" i="8"/>
  <c r="Z149" i="8" s="1"/>
  <c r="X151" i="8"/>
  <c r="X149" i="8" s="1"/>
  <c r="G152" i="8"/>
  <c r="I153" i="8" s="1"/>
  <c r="G153" i="8"/>
  <c r="F153" i="8"/>
  <c r="Q152" i="8"/>
  <c r="R154" i="8"/>
  <c r="E156" i="8"/>
  <c r="H155" i="8" l="1"/>
  <c r="L155" i="8"/>
  <c r="O155" i="8"/>
  <c r="I155" i="8"/>
  <c r="P155" i="8"/>
  <c r="R155" i="8"/>
  <c r="F156" i="8" s="1"/>
  <c r="N155" i="8"/>
  <c r="M155" i="8"/>
  <c r="C152" i="8"/>
  <c r="B152" i="8"/>
  <c r="E154" i="8"/>
  <c r="Y154" i="8" l="1"/>
  <c r="Y152" i="8" s="1"/>
  <c r="W154" i="8"/>
  <c r="W152" i="8" s="1"/>
  <c r="AD154" i="8"/>
  <c r="AD152" i="8" s="1"/>
  <c r="U154" i="8"/>
  <c r="U152" i="8" s="1"/>
  <c r="V154" i="8"/>
  <c r="V152" i="8" s="1"/>
  <c r="AE154" i="8"/>
  <c r="AE152" i="8" s="1"/>
  <c r="AA154" i="8"/>
  <c r="AA152" i="8" s="1"/>
  <c r="T154" i="8"/>
  <c r="T152" i="8" s="1"/>
  <c r="AB154" i="8"/>
  <c r="AB152" i="8" s="1"/>
  <c r="Z154" i="8"/>
  <c r="Z152" i="8" s="1"/>
  <c r="X154" i="8"/>
  <c r="X152" i="8" s="1"/>
  <c r="D154" i="8"/>
  <c r="D152" i="8" s="1"/>
  <c r="AC154" i="8"/>
  <c r="AC152" i="8" s="1"/>
  <c r="Q155" i="8"/>
  <c r="E159" i="8"/>
  <c r="R157" i="8"/>
  <c r="G155" i="8"/>
  <c r="I156" i="8" s="1"/>
  <c r="G156" i="8"/>
  <c r="F155" i="8"/>
  <c r="L158" i="8" l="1"/>
  <c r="O158" i="8"/>
  <c r="I158" i="8"/>
  <c r="N158" i="8"/>
  <c r="P158" i="8"/>
  <c r="R158" i="8"/>
  <c r="F158" i="8" s="1"/>
  <c r="M158" i="8"/>
  <c r="H158" i="8"/>
  <c r="C155" i="8"/>
  <c r="E157" i="8"/>
  <c r="B155" i="8"/>
  <c r="Y157" i="8"/>
  <c r="Y155" i="8" s="1"/>
  <c r="W157" i="8" l="1"/>
  <c r="W155" i="8" s="1"/>
  <c r="D157" i="8"/>
  <c r="D155" i="8" s="1"/>
  <c r="AC157" i="8"/>
  <c r="AC155" i="8" s="1"/>
  <c r="AE157" i="8"/>
  <c r="AE155" i="8" s="1"/>
  <c r="V157" i="8"/>
  <c r="V155" i="8" s="1"/>
  <c r="U157" i="8"/>
  <c r="U155" i="8" s="1"/>
  <c r="X157" i="8"/>
  <c r="X155" i="8" s="1"/>
  <c r="AA157" i="8"/>
  <c r="AA155" i="8" s="1"/>
  <c r="AD157" i="8"/>
  <c r="AD155" i="8" s="1"/>
  <c r="T157" i="8"/>
  <c r="T155" i="8" s="1"/>
  <c r="AB157" i="8"/>
  <c r="AB155" i="8" s="1"/>
  <c r="Z157" i="8"/>
  <c r="Z155" i="8" s="1"/>
  <c r="G159" i="8"/>
  <c r="G158" i="8"/>
  <c r="I159" i="8" s="1"/>
  <c r="F159" i="8"/>
  <c r="Q158" i="8"/>
  <c r="E162" i="8"/>
  <c r="R160" i="8"/>
  <c r="E160" i="8" l="1"/>
  <c r="C158" i="8"/>
  <c r="B158" i="8"/>
  <c r="L161" i="8"/>
  <c r="P161" i="8"/>
  <c r="I161" i="8"/>
  <c r="M161" i="8"/>
  <c r="H161" i="8"/>
  <c r="R161" i="8"/>
  <c r="AB160" i="8" s="1"/>
  <c r="AB158" i="8" s="1"/>
  <c r="N161" i="8"/>
  <c r="O161" i="8"/>
  <c r="N53" i="8" l="1"/>
  <c r="Q53" i="8" s="1"/>
  <c r="E55" i="8" s="1"/>
  <c r="N50" i="8"/>
  <c r="Q50" i="8" s="1"/>
  <c r="G54" i="8"/>
  <c r="N44" i="8"/>
  <c r="Q44" i="8" s="1"/>
  <c r="N47" i="8"/>
  <c r="Q47" i="8" s="1"/>
  <c r="N38" i="8"/>
  <c r="Q38" i="8" s="1"/>
  <c r="N41" i="8"/>
  <c r="Q41" i="8" s="1"/>
  <c r="N32" i="8"/>
  <c r="Q32" i="8" s="1"/>
  <c r="G33" i="8" s="1"/>
  <c r="N35" i="8"/>
  <c r="Q35" i="8" s="1"/>
  <c r="N26" i="8"/>
  <c r="Q26" i="8" s="1"/>
  <c r="G27" i="8" s="1"/>
  <c r="N29" i="8"/>
  <c r="Q29" i="8" s="1"/>
  <c r="N20" i="8"/>
  <c r="Q20" i="8" s="1"/>
  <c r="G21" i="8" s="1"/>
  <c r="N23" i="8"/>
  <c r="Q23" i="8" s="1"/>
  <c r="F161" i="8"/>
  <c r="AA160" i="8"/>
  <c r="AA158" i="8" s="1"/>
  <c r="AD160" i="8"/>
  <c r="AD158" i="8" s="1"/>
  <c r="Z160" i="8"/>
  <c r="Z158" i="8" s="1"/>
  <c r="U160" i="8"/>
  <c r="U158" i="8" s="1"/>
  <c r="W160" i="8"/>
  <c r="W158" i="8" s="1"/>
  <c r="D160" i="8"/>
  <c r="D158" i="8" s="1"/>
  <c r="G162" i="8"/>
  <c r="G161" i="8"/>
  <c r="I162" i="8" s="1"/>
  <c r="F162" i="8"/>
  <c r="N17" i="8"/>
  <c r="Q17" i="8" s="1"/>
  <c r="Q161" i="8"/>
  <c r="R163" i="8"/>
  <c r="Q165" i="8"/>
  <c r="H165" i="8" s="1"/>
  <c r="AE160" i="8"/>
  <c r="AE158" i="8" s="1"/>
  <c r="Y160" i="8"/>
  <c r="Y158" i="8" s="1"/>
  <c r="X160" i="8"/>
  <c r="X158" i="8" s="1"/>
  <c r="AC160" i="8"/>
  <c r="AC158" i="8" s="1"/>
  <c r="V160" i="8"/>
  <c r="V158" i="8" s="1"/>
  <c r="T160" i="8"/>
  <c r="T158" i="8" s="1"/>
  <c r="U55" i="8" l="1"/>
  <c r="U53" i="8" s="1"/>
  <c r="T55" i="8"/>
  <c r="T53" i="8" s="1"/>
  <c r="Z55" i="8"/>
  <c r="Z53" i="8" s="1"/>
  <c r="X55" i="8"/>
  <c r="X53" i="8" s="1"/>
  <c r="B53" i="8"/>
  <c r="W55" i="8"/>
  <c r="W53" i="8" s="1"/>
  <c r="Y55" i="8"/>
  <c r="Y53" i="8" s="1"/>
  <c r="C53" i="8"/>
  <c r="AE55" i="8"/>
  <c r="AE53" i="8" s="1"/>
  <c r="AC55" i="8"/>
  <c r="AC53" i="8" s="1"/>
  <c r="AB55" i="8"/>
  <c r="AB53" i="8" s="1"/>
  <c r="AA55" i="8"/>
  <c r="AA53" i="8" s="1"/>
  <c r="D55" i="8"/>
  <c r="D53" i="8" s="1"/>
  <c r="V55" i="8"/>
  <c r="V53" i="8" s="1"/>
  <c r="AD55" i="8"/>
  <c r="AD53" i="8" s="1"/>
  <c r="Z52" i="8"/>
  <c r="Z50" i="8" s="1"/>
  <c r="T52" i="8"/>
  <c r="T50" i="8" s="1"/>
  <c r="W52" i="8"/>
  <c r="W50" i="8" s="1"/>
  <c r="AA52" i="8"/>
  <c r="AA50" i="8" s="1"/>
  <c r="C50" i="8"/>
  <c r="Y52" i="8"/>
  <c r="Y50" i="8" s="1"/>
  <c r="AC52" i="8"/>
  <c r="AC50" i="8" s="1"/>
  <c r="AB52" i="8"/>
  <c r="AB50" i="8" s="1"/>
  <c r="E52" i="8"/>
  <c r="AE52" i="8"/>
  <c r="AE50" i="8" s="1"/>
  <c r="D52" i="8"/>
  <c r="D50" i="8" s="1"/>
  <c r="G51" i="8"/>
  <c r="X52" i="8"/>
  <c r="X50" i="8" s="1"/>
  <c r="AD52" i="8"/>
  <c r="AD50" i="8" s="1"/>
  <c r="B50" i="8"/>
  <c r="V52" i="8"/>
  <c r="V50" i="8" s="1"/>
  <c r="U52" i="8"/>
  <c r="U50" i="8" s="1"/>
  <c r="G53" i="8"/>
  <c r="I54" i="8" s="1"/>
  <c r="G48" i="8"/>
  <c r="E46" i="8"/>
  <c r="G45" i="8"/>
  <c r="G36" i="8"/>
  <c r="AB40" i="8"/>
  <c r="AB38" i="8" s="1"/>
  <c r="G39" i="8"/>
  <c r="G42" i="8"/>
  <c r="AC46" i="8"/>
  <c r="AC44" i="8" s="1"/>
  <c r="AA46" i="8"/>
  <c r="AA44" i="8" s="1"/>
  <c r="D46" i="8"/>
  <c r="D44" i="8" s="1"/>
  <c r="Z46" i="8"/>
  <c r="Z44" i="8" s="1"/>
  <c r="C44" i="8"/>
  <c r="T46" i="8"/>
  <c r="T44" i="8" s="1"/>
  <c r="U46" i="8"/>
  <c r="U44" i="8" s="1"/>
  <c r="Y46" i="8"/>
  <c r="Y44" i="8" s="1"/>
  <c r="AD46" i="8"/>
  <c r="AD44" i="8" s="1"/>
  <c r="AE46" i="8"/>
  <c r="AE44" i="8" s="1"/>
  <c r="W46" i="8"/>
  <c r="W44" i="8" s="1"/>
  <c r="AB46" i="8"/>
  <c r="AB44" i="8"/>
  <c r="V46" i="8"/>
  <c r="V44" i="8" s="1"/>
  <c r="B44" i="8"/>
  <c r="X46" i="8"/>
  <c r="X44" i="8" s="1"/>
  <c r="C38" i="8"/>
  <c r="E49" i="8"/>
  <c r="AC49" i="8"/>
  <c r="AC47" i="8" s="1"/>
  <c r="U49" i="8"/>
  <c r="U47" i="8" s="1"/>
  <c r="V49" i="8"/>
  <c r="V47" i="8" s="1"/>
  <c r="Z49" i="8"/>
  <c r="Z47" i="8" s="1"/>
  <c r="AB49" i="8"/>
  <c r="AB47" i="8" s="1"/>
  <c r="AD49" i="8"/>
  <c r="AD47" i="8" s="1"/>
  <c r="D49" i="8"/>
  <c r="D47" i="8" s="1"/>
  <c r="Y49" i="8"/>
  <c r="Y47" i="8" s="1"/>
  <c r="AE49" i="8"/>
  <c r="AE47" i="8" s="1"/>
  <c r="B47" i="8"/>
  <c r="C47" i="8"/>
  <c r="W49" i="8"/>
  <c r="W47" i="8" s="1"/>
  <c r="AA49" i="8"/>
  <c r="AA47" i="8" s="1"/>
  <c r="X49" i="8"/>
  <c r="X47" i="8" s="1"/>
  <c r="T49" i="8"/>
  <c r="T47" i="8" s="1"/>
  <c r="D40" i="8"/>
  <c r="D38" i="8" s="1"/>
  <c r="W40" i="8"/>
  <c r="W38" i="8" s="1"/>
  <c r="U40" i="8"/>
  <c r="U38" i="8" s="1"/>
  <c r="T40" i="8"/>
  <c r="T38" i="8" s="1"/>
  <c r="B38" i="8"/>
  <c r="AA40" i="8"/>
  <c r="AA38" i="8" s="1"/>
  <c r="E40" i="8"/>
  <c r="AE40" i="8"/>
  <c r="AE38" i="8" s="1"/>
  <c r="Z40" i="8"/>
  <c r="Z38" i="8" s="1"/>
  <c r="V40" i="8"/>
  <c r="V38" i="8" s="1"/>
  <c r="Y40" i="8"/>
  <c r="Y38" i="8" s="1"/>
  <c r="AC40" i="8"/>
  <c r="AC38" i="8" s="1"/>
  <c r="AD40" i="8"/>
  <c r="AD38" i="8" s="1"/>
  <c r="X40" i="8"/>
  <c r="X38" i="8" s="1"/>
  <c r="AD43" i="8"/>
  <c r="AD41" i="8" s="1"/>
  <c r="T43" i="8"/>
  <c r="T41" i="8" s="1"/>
  <c r="V43" i="8"/>
  <c r="V41" i="8" s="1"/>
  <c r="W43" i="8"/>
  <c r="W41" i="8" s="1"/>
  <c r="C41" i="8"/>
  <c r="AA43" i="8"/>
  <c r="AA41" i="8" s="1"/>
  <c r="AC43" i="8"/>
  <c r="AC41" i="8" s="1"/>
  <c r="Y43" i="8"/>
  <c r="Y41" i="8" s="1"/>
  <c r="Z43" i="8"/>
  <c r="Z41" i="8" s="1"/>
  <c r="D43" i="8"/>
  <c r="D41" i="8" s="1"/>
  <c r="X43" i="8"/>
  <c r="X41" i="8" s="1"/>
  <c r="AE43" i="8"/>
  <c r="AE41" i="8" s="1"/>
  <c r="B41" i="8"/>
  <c r="AB43" i="8"/>
  <c r="AB41" i="8" s="1"/>
  <c r="E43" i="8"/>
  <c r="U43" i="8"/>
  <c r="U41" i="8" s="1"/>
  <c r="W34" i="8"/>
  <c r="W32" i="8" s="1"/>
  <c r="C32" i="8"/>
  <c r="Z34" i="8"/>
  <c r="Z32" i="8" s="1"/>
  <c r="AB34" i="8"/>
  <c r="AB32" i="8" s="1"/>
  <c r="AC34" i="8"/>
  <c r="AC32" i="8" s="1"/>
  <c r="D34" i="8"/>
  <c r="D32" i="8" s="1"/>
  <c r="AE34" i="8"/>
  <c r="AE32" i="8" s="1"/>
  <c r="AD34" i="8"/>
  <c r="AD32" i="8" s="1"/>
  <c r="T34" i="8"/>
  <c r="T32" i="8" s="1"/>
  <c r="X34" i="8"/>
  <c r="X32" i="8" s="1"/>
  <c r="U34" i="8"/>
  <c r="U32" i="8" s="1"/>
  <c r="E34" i="8"/>
  <c r="AA34" i="8" s="1"/>
  <c r="AA32" i="8" s="1"/>
  <c r="B32" i="8"/>
  <c r="Y34" i="8"/>
  <c r="Y32" i="8" s="1"/>
  <c r="V34" i="8"/>
  <c r="V32" i="8" s="1"/>
  <c r="T37" i="8"/>
  <c r="T35" i="8" s="1"/>
  <c r="E37" i="8"/>
  <c r="C35" i="8"/>
  <c r="B35" i="8"/>
  <c r="D37" i="8"/>
  <c r="D35" i="8" s="1"/>
  <c r="AC37" i="8"/>
  <c r="W37" i="8"/>
  <c r="W35" i="8" s="1"/>
  <c r="AE37" i="8"/>
  <c r="AE35" i="8" s="1"/>
  <c r="V37" i="8"/>
  <c r="AC35" i="8"/>
  <c r="V35" i="8"/>
  <c r="G30" i="8"/>
  <c r="X28" i="8"/>
  <c r="X26" i="8" s="1"/>
  <c r="C26" i="8"/>
  <c r="AD28" i="8"/>
  <c r="AD26" i="8" s="1"/>
  <c r="W28" i="8"/>
  <c r="W26" i="8" s="1"/>
  <c r="V28" i="8"/>
  <c r="V26" i="8" s="1"/>
  <c r="AB28" i="8"/>
  <c r="AB26" i="8" s="1"/>
  <c r="D28" i="8"/>
  <c r="D26" i="8" s="1"/>
  <c r="Z28" i="8"/>
  <c r="Z26" i="8" s="1"/>
  <c r="Y28" i="8"/>
  <c r="Y26" i="8" s="1"/>
  <c r="E28" i="8"/>
  <c r="AA28" i="8" s="1"/>
  <c r="AA26" i="8" s="1"/>
  <c r="B26" i="8"/>
  <c r="U28" i="8"/>
  <c r="U26" i="8" s="1"/>
  <c r="AC28" i="8"/>
  <c r="AC26" i="8" s="1"/>
  <c r="T28" i="8"/>
  <c r="T26" i="8" s="1"/>
  <c r="AE28" i="8"/>
  <c r="AE26" i="8" s="1"/>
  <c r="W31" i="8"/>
  <c r="W29" i="8" s="1"/>
  <c r="AA31" i="8"/>
  <c r="AA29" i="8" s="1"/>
  <c r="V31" i="8"/>
  <c r="V29" i="8" s="1"/>
  <c r="AE31" i="8"/>
  <c r="AE29" i="8" s="1"/>
  <c r="C29" i="8"/>
  <c r="AB31" i="8"/>
  <c r="U31" i="8"/>
  <c r="U29" i="8" s="1"/>
  <c r="AD31" i="8"/>
  <c r="AD29" i="8" s="1"/>
  <c r="B29" i="8"/>
  <c r="Z31" i="8"/>
  <c r="Z29" i="8" s="1"/>
  <c r="Y31" i="8"/>
  <c r="Y29" i="8" s="1"/>
  <c r="E31" i="8"/>
  <c r="D31" i="8" s="1"/>
  <c r="D29" i="8" s="1"/>
  <c r="T31" i="8"/>
  <c r="X31" i="8"/>
  <c r="X29" i="8" s="1"/>
  <c r="AC31" i="8"/>
  <c r="AC29" i="8" s="1"/>
  <c r="T29" i="8"/>
  <c r="AB29" i="8"/>
  <c r="G24" i="8"/>
  <c r="AD20" i="8"/>
  <c r="AC20" i="8"/>
  <c r="AD22" i="8"/>
  <c r="AA22" i="8"/>
  <c r="V20" i="8"/>
  <c r="Z22" i="8"/>
  <c r="W20" i="8"/>
  <c r="AE20" i="8"/>
  <c r="AE22" i="8"/>
  <c r="T20" i="8"/>
  <c r="D20" i="8"/>
  <c r="X20" i="8"/>
  <c r="V22" i="8"/>
  <c r="AC22" i="8"/>
  <c r="U20" i="8"/>
  <c r="Y20" i="8"/>
  <c r="AB22" i="8"/>
  <c r="X22" i="8"/>
  <c r="U22" i="8"/>
  <c r="AB20" i="8"/>
  <c r="Z20" i="8"/>
  <c r="AA20" i="8"/>
  <c r="B20" i="8"/>
  <c r="E22" i="8"/>
  <c r="D22" i="8" s="1"/>
  <c r="Y22" i="8"/>
  <c r="C20" i="8"/>
  <c r="W22" i="8"/>
  <c r="T22" i="8"/>
  <c r="E25" i="8"/>
  <c r="AD25" i="8" s="1"/>
  <c r="W25" i="8"/>
  <c r="X25" i="8"/>
  <c r="D25" i="8"/>
  <c r="V25" i="8"/>
  <c r="Z25" i="8"/>
  <c r="AC25" i="8"/>
  <c r="B23" i="8"/>
  <c r="AB25" i="8"/>
  <c r="AE25" i="8"/>
  <c r="T25" i="8"/>
  <c r="C23" i="8"/>
  <c r="Y25" i="8"/>
  <c r="U25" i="8"/>
  <c r="AA25" i="8"/>
  <c r="AC23" i="8"/>
  <c r="V23" i="8"/>
  <c r="AE23" i="8"/>
  <c r="Z23" i="8"/>
  <c r="AA23" i="8"/>
  <c r="Y23" i="8"/>
  <c r="X23" i="8"/>
  <c r="AD23" i="8"/>
  <c r="U23" i="8"/>
  <c r="D23" i="8"/>
  <c r="W23" i="8"/>
  <c r="T23" i="8"/>
  <c r="AB23" i="8"/>
  <c r="G18" i="8"/>
  <c r="B17" i="8"/>
  <c r="E19" i="8"/>
  <c r="AD19" i="8" s="1"/>
  <c r="C17" i="8"/>
  <c r="Y19" i="8"/>
  <c r="Z163" i="8"/>
  <c r="Z161" i="8" s="1"/>
  <c r="AE163" i="8"/>
  <c r="AE161" i="8" s="1"/>
  <c r="AD163" i="8"/>
  <c r="AD161" i="8" s="1"/>
  <c r="Y163" i="8"/>
  <c r="Y161" i="8" s="1"/>
  <c r="X163" i="8"/>
  <c r="X161" i="8" s="1"/>
  <c r="B161" i="8"/>
  <c r="V163" i="8"/>
  <c r="V161" i="8" s="1"/>
  <c r="U163" i="8"/>
  <c r="U161" i="8" s="1"/>
  <c r="E163" i="8"/>
  <c r="W163" i="8"/>
  <c r="W161" i="8" s="1"/>
  <c r="D163" i="8"/>
  <c r="D161" i="8" s="1"/>
  <c r="AB163" i="8"/>
  <c r="AB161" i="8" s="1"/>
  <c r="T163" i="8"/>
  <c r="T161" i="8" s="1"/>
  <c r="C161" i="8"/>
  <c r="AC163" i="8"/>
  <c r="AC161" i="8" s="1"/>
  <c r="AA163" i="8"/>
  <c r="AA161" i="8" s="1"/>
  <c r="G50" i="8" l="1"/>
  <c r="I51" i="8" s="1"/>
  <c r="AB37" i="8"/>
  <c r="AB35" i="8" s="1"/>
  <c r="U37" i="8"/>
  <c r="U35" i="8" s="1"/>
  <c r="AA37" i="8"/>
  <c r="AA35" i="8" s="1"/>
  <c r="Y37" i="8"/>
  <c r="Y35" i="8" s="1"/>
  <c r="X37" i="8"/>
  <c r="X35" i="8" s="1"/>
  <c r="Z37" i="8"/>
  <c r="Z35" i="8" s="1"/>
  <c r="AD37" i="8"/>
  <c r="AD35" i="8" s="1"/>
  <c r="G47" i="8"/>
  <c r="I48" i="8" s="1"/>
  <c r="G44" i="8"/>
  <c r="I45" i="8" s="1"/>
  <c r="G38" i="8"/>
  <c r="I39" i="8" s="1"/>
  <c r="G41" i="8"/>
  <c r="I42" i="8" s="1"/>
  <c r="Y16" i="8"/>
  <c r="Y14" i="8" s="1"/>
  <c r="G32" i="8"/>
  <c r="I33" i="8" s="1"/>
  <c r="G29" i="8"/>
  <c r="I30" i="8" s="1"/>
  <c r="G26" i="8"/>
  <c r="I27" i="8" s="1"/>
  <c r="G23" i="8"/>
  <c r="I24" i="8" s="1"/>
  <c r="G20" i="8"/>
  <c r="I21" i="8" s="1"/>
  <c r="Z19" i="8"/>
  <c r="AA19" i="8"/>
  <c r="AA16" i="8" s="1"/>
  <c r="AA14" i="8" s="1"/>
  <c r="AD17" i="8"/>
  <c r="AB19" i="8"/>
  <c r="AB16" i="8" s="1"/>
  <c r="AB14" i="8" s="1"/>
  <c r="AC19" i="8"/>
  <c r="AC16" i="8" s="1"/>
  <c r="AC14" i="8" s="1"/>
  <c r="U19" i="8"/>
  <c r="U16" i="8" s="1"/>
  <c r="U14" i="8" s="1"/>
  <c r="V19" i="8"/>
  <c r="V16" i="8" s="1"/>
  <c r="V14" i="8" s="1"/>
  <c r="AE19" i="8"/>
  <c r="AE16" i="8" s="1"/>
  <c r="AE14" i="8" s="1"/>
  <c r="AC17" i="8"/>
  <c r="W19" i="8"/>
  <c r="W17" i="8" s="1"/>
  <c r="T19" i="8"/>
  <c r="T17" i="8" s="1"/>
  <c r="X19" i="8"/>
  <c r="D19" i="8"/>
  <c r="U17" i="8"/>
  <c r="Y17" i="8"/>
  <c r="G35" i="8" l="1"/>
  <c r="I36" i="8" s="1"/>
  <c r="AD16" i="8"/>
  <c r="AD14" i="8" s="1"/>
  <c r="W16" i="8"/>
  <c r="W14" i="8" s="1"/>
  <c r="T16" i="8"/>
  <c r="T14" i="8" s="1"/>
  <c r="AA17" i="8"/>
  <c r="AB17" i="8"/>
  <c r="Z16" i="8"/>
  <c r="Z14" i="8" s="1"/>
  <c r="Z17" i="8"/>
  <c r="AE17" i="8"/>
  <c r="V17" i="8"/>
  <c r="D16" i="8"/>
  <c r="D17" i="8"/>
  <c r="X16" i="8"/>
  <c r="X14" i="8" s="1"/>
  <c r="X17" i="8"/>
  <c r="G17" i="8" l="1"/>
  <c r="I18" i="8" s="1"/>
  <c r="T174" i="8"/>
  <c r="T170" i="8" s="1"/>
  <c r="T172" i="8" a="1"/>
  <c r="T172" i="8" s="1"/>
  <c r="T167" i="8" s="1"/>
  <c r="T173" i="8" a="1"/>
  <c r="T173" i="8" s="1"/>
  <c r="T168" i="8" s="1"/>
  <c r="D174" i="8"/>
  <c r="D14" i="8"/>
  <c r="D173" i="8" a="1"/>
  <c r="D173" i="8" s="1"/>
  <c r="D168" i="8" s="1"/>
  <c r="D172" i="8" a="1"/>
  <c r="D172" i="8" s="1"/>
  <c r="D167" i="8" s="1"/>
  <c r="T169" i="8" l="1"/>
  <c r="T165" i="8" s="1"/>
  <c r="U174" i="8"/>
  <c r="U170" i="8" s="1"/>
  <c r="J10" i="13" s="1"/>
  <c r="G10" i="13" s="1"/>
  <c r="T171" i="8"/>
  <c r="T166" i="8" s="1"/>
  <c r="U172" i="8" a="1"/>
  <c r="U172" i="8" s="1"/>
  <c r="V172" i="8" s="1" a="1"/>
  <c r="V172" i="8" s="1"/>
  <c r="U173" i="8" a="1"/>
  <c r="U173" i="8" s="1"/>
  <c r="U168" i="8" s="1"/>
  <c r="D170" i="8"/>
  <c r="D171" i="8"/>
  <c r="D166" i="8" s="1"/>
  <c r="D169" i="8"/>
  <c r="D165" i="8" s="1"/>
  <c r="U169" i="8" l="1"/>
  <c r="U165" i="8" s="1"/>
  <c r="V174" i="8"/>
  <c r="V169" i="8" s="1"/>
  <c r="V165" i="8" s="1"/>
  <c r="U171" i="8"/>
  <c r="U166" i="8" s="1"/>
  <c r="V173" i="8" a="1"/>
  <c r="V173" i="8" s="1"/>
  <c r="V168" i="8" s="1"/>
  <c r="U167" i="8"/>
  <c r="W172" i="8" a="1"/>
  <c r="W172" i="8" s="1"/>
  <c r="V167" i="8"/>
  <c r="V170" i="8" l="1"/>
  <c r="W174" i="8"/>
  <c r="W170" i="8" s="1"/>
  <c r="W173" i="8" a="1"/>
  <c r="W173" i="8" s="1"/>
  <c r="X173" i="8" s="1" a="1"/>
  <c r="X173" i="8" s="1"/>
  <c r="V171" i="8"/>
  <c r="V166" i="8" s="1"/>
  <c r="X172" i="8" a="1"/>
  <c r="X172" i="8" s="1"/>
  <c r="W167" i="8"/>
  <c r="W169" i="8" l="1"/>
  <c r="W165" i="8" s="1"/>
  <c r="X174" i="8"/>
  <c r="Y174" i="8" s="1"/>
  <c r="W168" i="8"/>
  <c r="W171" i="8"/>
  <c r="W166" i="8" s="1"/>
  <c r="X168" i="8"/>
  <c r="Y173" i="8" a="1"/>
  <c r="Y173" i="8" s="1"/>
  <c r="X167" i="8"/>
  <c r="Y172" i="8" a="1"/>
  <c r="Y172" i="8" s="1"/>
  <c r="X170" i="8" l="1"/>
  <c r="X169" i="8"/>
  <c r="X165" i="8" s="1"/>
  <c r="X171" i="8"/>
  <c r="X166" i="8" s="1"/>
  <c r="Y168" i="8"/>
  <c r="Z173" i="8" a="1"/>
  <c r="Z173" i="8" s="1"/>
  <c r="Z172" i="8" a="1"/>
  <c r="Z172" i="8" s="1"/>
  <c r="Y167" i="8"/>
  <c r="Y169" i="8"/>
  <c r="Y165" i="8" s="1"/>
  <c r="Y170" i="8"/>
  <c r="Z174" i="8"/>
  <c r="Y171" i="8"/>
  <c r="Y166" i="8" l="1"/>
  <c r="AA173" i="8" a="1"/>
  <c r="AA173" i="8" s="1"/>
  <c r="Z168" i="8"/>
  <c r="Z170" i="8"/>
  <c r="Z171" i="8"/>
  <c r="Z166" i="8" s="1"/>
  <c r="Z169" i="8"/>
  <c r="Z165" i="8" s="1"/>
  <c r="AA174" i="8"/>
  <c r="AA172" i="8" a="1"/>
  <c r="AA172" i="8" s="1"/>
  <c r="Z167" i="8"/>
  <c r="AB172" i="8" l="1" a="1"/>
  <c r="AB172" i="8" s="1"/>
  <c r="AA167" i="8"/>
  <c r="AA171" i="8"/>
  <c r="AA166" i="8" s="1"/>
  <c r="AA169" i="8"/>
  <c r="AA165" i="8" s="1"/>
  <c r="AB174" i="8"/>
  <c r="AA170" i="8"/>
  <c r="AA168" i="8"/>
  <c r="AB173" i="8" a="1"/>
  <c r="AB173" i="8" s="1"/>
  <c r="AC173" i="8" l="1" a="1"/>
  <c r="AC173" i="8" s="1"/>
  <c r="AB168" i="8"/>
  <c r="AB170" i="8"/>
  <c r="AB171" i="8"/>
  <c r="AB166" i="8" s="1"/>
  <c r="AB169" i="8"/>
  <c r="AB165" i="8" s="1"/>
  <c r="AC174" i="8"/>
  <c r="AC172" i="8" a="1"/>
  <c r="AC172" i="8" s="1"/>
  <c r="AB167" i="8"/>
  <c r="AC170" i="8" l="1"/>
  <c r="AC169" i="8"/>
  <c r="AC165" i="8" s="1"/>
  <c r="AC171" i="8"/>
  <c r="AC166" i="8" s="1"/>
  <c r="AD174" i="8"/>
  <c r="AC167" i="8"/>
  <c r="AD172" i="8" a="1"/>
  <c r="AD172" i="8" s="1"/>
  <c r="AD173" i="8" a="1"/>
  <c r="AD173" i="8" s="1"/>
  <c r="AC168" i="8"/>
  <c r="AD167" i="8" l="1"/>
  <c r="AE172" i="8" a="1"/>
  <c r="AE172" i="8" s="1"/>
  <c r="AD169" i="8"/>
  <c r="AD165" i="8" s="1"/>
  <c r="AD171" i="8"/>
  <c r="AD166" i="8" s="1"/>
  <c r="AD170" i="8"/>
  <c r="AE174" i="8"/>
  <c r="AD168" i="8"/>
  <c r="AE173" i="8" a="1"/>
  <c r="AE173" i="8" s="1"/>
  <c r="AE168" i="8" s="1"/>
  <c r="AE167" i="8" l="1"/>
  <c r="AF172" i="8"/>
  <c r="AF174" i="8"/>
  <c r="AE171" i="8"/>
  <c r="AE170" i="8"/>
  <c r="AE169" i="8"/>
  <c r="AE165" i="8" s="1"/>
  <c r="B9" i="9"/>
  <c r="J10" i="8"/>
  <c r="AE166" i="8" l="1"/>
  <c r="AF171" i="8"/>
  <c r="AF173" i="8" s="1"/>
  <c r="I20" i="8" l="1"/>
  <c r="F16" i="12"/>
  <c r="F19" i="12"/>
  <c r="F18" i="12"/>
  <c r="F20" i="12"/>
  <c r="F17" i="12" l="1"/>
  <c r="F33" i="12"/>
  <c r="F21" i="12"/>
  <c r="F24" i="6"/>
  <c r="E24" i="12"/>
  <c r="F23" i="12"/>
  <c r="F36" i="12"/>
  <c r="F34" i="12"/>
  <c r="F25" i="12"/>
  <c r="G24" i="6"/>
  <c r="F24" i="12"/>
  <c r="F28" i="12"/>
  <c r="F26" i="12"/>
  <c r="F27" i="12"/>
  <c r="F22" i="12"/>
  <c r="F14" i="12"/>
  <c r="F32" i="12"/>
  <c r="F35" i="12"/>
  <c r="N25" i="6" l="1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1" i="6"/>
  <c r="N100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4" i="6"/>
  <c r="N193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F29" i="12"/>
  <c r="F30" i="12"/>
  <c r="F31" i="12"/>
  <c r="C27" i="9" l="1"/>
  <c r="C27" i="10"/>
  <c r="C26" i="9"/>
  <c r="C26" i="10"/>
  <c r="C25" i="10"/>
  <c r="C25" i="9"/>
  <c r="C24" i="10"/>
  <c r="C24" i="9"/>
  <c r="C23" i="9"/>
  <c r="C23" i="10"/>
  <c r="C22" i="9"/>
  <c r="C22" i="10"/>
  <c r="C21" i="10"/>
  <c r="C21" i="9"/>
  <c r="C20" i="10"/>
  <c r="C20" i="9"/>
  <c r="C19" i="10"/>
  <c r="C19" i="9"/>
  <c r="C18" i="9"/>
  <c r="C18" i="10"/>
  <c r="C17" i="10"/>
  <c r="C17" i="9"/>
  <c r="F51" i="12" l="1"/>
  <c r="F42" i="12"/>
  <c r="F41" i="12"/>
  <c r="F41" i="6"/>
  <c r="E41" i="12"/>
  <c r="F40" i="12"/>
  <c r="F39" i="12"/>
  <c r="F104" i="12" l="1"/>
  <c r="F97" i="12"/>
  <c r="F96" i="12"/>
  <c r="F95" i="12"/>
  <c r="F119" i="12"/>
  <c r="F89" i="12"/>
  <c r="F88" i="12"/>
  <c r="F80" i="12"/>
  <c r="F79" i="12"/>
  <c r="F103" i="12"/>
  <c r="F102" i="12"/>
  <c r="F78" i="12"/>
  <c r="F87" i="12"/>
  <c r="F86" i="12"/>
  <c r="F94" i="12"/>
  <c r="F73" i="12"/>
  <c r="F72" i="12"/>
  <c r="F71" i="12"/>
  <c r="F70" i="12"/>
  <c r="F62" i="12"/>
  <c r="F61" i="12"/>
  <c r="F55" i="12"/>
  <c r="F53" i="12"/>
  <c r="F52" i="12"/>
  <c r="F98" i="12" l="1"/>
  <c r="F77" i="12"/>
  <c r="F76" i="12"/>
  <c r="F75" i="12"/>
  <c r="F105" i="12"/>
  <c r="F91" i="12"/>
  <c r="F90" i="12"/>
  <c r="F84" i="12"/>
  <c r="F83" i="12"/>
  <c r="F82" i="12"/>
  <c r="F81" i="12"/>
  <c r="AF20" i="5" l="1"/>
  <c r="AF14" i="5"/>
  <c r="AF21" i="5"/>
  <c r="AF34" i="5"/>
  <c r="AF17" i="5"/>
  <c r="AF16" i="5"/>
  <c r="AF36" i="5"/>
  <c r="AF19" i="5"/>
  <c r="AF32" i="5"/>
  <c r="S20" i="5" l="1"/>
  <c r="G20" i="6" s="1"/>
  <c r="AG20" i="5"/>
  <c r="R20" i="5"/>
  <c r="F20" i="6" s="1"/>
  <c r="S14" i="5"/>
  <c r="G14" i="6" s="1"/>
  <c r="AG14" i="5"/>
  <c r="R14" i="5"/>
  <c r="E14" i="12" s="1"/>
  <c r="R32" i="5"/>
  <c r="AG32" i="5"/>
  <c r="S32" i="5"/>
  <c r="G32" i="6" s="1"/>
  <c r="R19" i="5"/>
  <c r="S19" i="5"/>
  <c r="G19" i="6" s="1"/>
  <c r="AG19" i="5"/>
  <c r="AG36" i="5"/>
  <c r="R36" i="5"/>
  <c r="S36" i="5"/>
  <c r="G36" i="6" s="1"/>
  <c r="AG16" i="5"/>
  <c r="S16" i="5"/>
  <c r="AG17" i="5"/>
  <c r="S17" i="5"/>
  <c r="R34" i="5"/>
  <c r="AG34" i="5"/>
  <c r="S34" i="5"/>
  <c r="G34" i="6" s="1"/>
  <c r="AG21" i="5"/>
  <c r="R21" i="5"/>
  <c r="S21" i="5"/>
  <c r="G21" i="6" s="1"/>
  <c r="F14" i="6"/>
  <c r="E20" i="12"/>
  <c r="AF51" i="5"/>
  <c r="AF22" i="5"/>
  <c r="AF35" i="5"/>
  <c r="S51" i="5"/>
  <c r="AF24" i="5"/>
  <c r="AG51" i="5"/>
  <c r="AF29" i="5"/>
  <c r="AF25" i="5"/>
  <c r="AF72" i="5"/>
  <c r="AF95" i="5"/>
  <c r="AF26" i="5"/>
  <c r="AF78" i="5"/>
  <c r="AF84" i="5"/>
  <c r="AF86" i="5"/>
  <c r="AF87" i="5"/>
  <c r="AF88" i="5"/>
  <c r="AF82" i="5"/>
  <c r="AF61" i="5"/>
  <c r="AF81" i="5"/>
  <c r="AF76" i="5"/>
  <c r="AF94" i="5"/>
  <c r="AF52" i="5"/>
  <c r="AF104" i="5"/>
  <c r="AF80" i="5"/>
  <c r="AF91" i="5"/>
  <c r="AF40" i="5"/>
  <c r="AF79" i="5"/>
  <c r="AF83" i="5"/>
  <c r="AF53" i="5"/>
  <c r="AF97" i="5"/>
  <c r="AF103" i="5"/>
  <c r="AF77" i="5"/>
  <c r="AF75" i="5"/>
  <c r="AF90" i="5"/>
  <c r="AF102" i="5"/>
  <c r="AF89" i="5"/>
  <c r="AF96" i="5"/>
  <c r="AF39" i="5"/>
  <c r="AF70" i="5"/>
  <c r="AF98" i="5"/>
  <c r="AF55" i="5"/>
  <c r="AF62" i="5"/>
  <c r="AF105" i="5"/>
  <c r="AF71" i="5"/>
  <c r="AF41" i="5"/>
  <c r="AF73" i="5"/>
  <c r="AF42" i="5"/>
  <c r="AF30" i="5"/>
  <c r="AF119" i="5"/>
  <c r="AF18" i="5"/>
  <c r="AF28" i="5"/>
  <c r="AF31" i="5"/>
  <c r="AF27" i="5"/>
  <c r="AF23" i="5"/>
  <c r="AF33" i="5"/>
  <c r="R22" i="5" l="1"/>
  <c r="AC22" i="5" s="1"/>
  <c r="AG22" i="5"/>
  <c r="S22" i="5"/>
  <c r="G22" i="6" s="1"/>
  <c r="AC14" i="5"/>
  <c r="S35" i="5"/>
  <c r="G35" i="6" s="1"/>
  <c r="R35" i="5"/>
  <c r="AG35" i="5"/>
  <c r="AC20" i="5"/>
  <c r="AC16" i="5"/>
  <c r="AG33" i="5"/>
  <c r="R33" i="5"/>
  <c r="S33" i="5"/>
  <c r="G33" i="6" s="1"/>
  <c r="R23" i="5"/>
  <c r="AG23" i="5"/>
  <c r="S23" i="5"/>
  <c r="G23" i="6" s="1"/>
  <c r="S24" i="5"/>
  <c r="AG24" i="5"/>
  <c r="G51" i="6"/>
  <c r="E22" i="12"/>
  <c r="F22" i="6"/>
  <c r="E32" i="12"/>
  <c r="AC32" i="5"/>
  <c r="F32" i="6"/>
  <c r="AC21" i="5"/>
  <c r="E21" i="12"/>
  <c r="F21" i="6"/>
  <c r="AC34" i="5"/>
  <c r="F34" i="6"/>
  <c r="E34" i="12"/>
  <c r="AC17" i="5"/>
  <c r="AC36" i="5"/>
  <c r="E36" i="12"/>
  <c r="F36" i="6"/>
  <c r="F19" i="6"/>
  <c r="AC19" i="5"/>
  <c r="E19" i="12"/>
  <c r="F35" i="6"/>
  <c r="E35" i="12"/>
  <c r="AC35" i="5"/>
  <c r="AG27" i="5"/>
  <c r="R28" i="5"/>
  <c r="R18" i="5"/>
  <c r="R119" i="5"/>
  <c r="R42" i="5"/>
  <c r="R73" i="5"/>
  <c r="AG71" i="5"/>
  <c r="R105" i="5"/>
  <c r="R62" i="5"/>
  <c r="S98" i="5"/>
  <c r="S70" i="5"/>
  <c r="S39" i="5"/>
  <c r="S89" i="5"/>
  <c r="S102" i="5"/>
  <c r="S90" i="5"/>
  <c r="R77" i="5"/>
  <c r="S103" i="5"/>
  <c r="R97" i="5"/>
  <c r="S83" i="5"/>
  <c r="S79" i="5"/>
  <c r="S40" i="5"/>
  <c r="R80" i="5"/>
  <c r="S104" i="5"/>
  <c r="AG52" i="5"/>
  <c r="AG76" i="5"/>
  <c r="S81" i="5"/>
  <c r="R61" i="5"/>
  <c r="S88" i="5"/>
  <c r="S87" i="5"/>
  <c r="AG86" i="5"/>
  <c r="R78" i="5"/>
  <c r="R26" i="5"/>
  <c r="AG95" i="5"/>
  <c r="R25" i="5"/>
  <c r="AG29" i="5"/>
  <c r="R51" i="5"/>
  <c r="AG31" i="5"/>
  <c r="AG28" i="5"/>
  <c r="AG18" i="5"/>
  <c r="S30" i="5"/>
  <c r="AG42" i="5"/>
  <c r="AG73" i="5"/>
  <c r="R71" i="5"/>
  <c r="S105" i="5"/>
  <c r="AG55" i="5"/>
  <c r="AG98" i="5"/>
  <c r="R70" i="5"/>
  <c r="S96" i="5"/>
  <c r="AG89" i="5"/>
  <c r="AG102" i="5"/>
  <c r="AG75" i="5"/>
  <c r="AG77" i="5"/>
  <c r="AG103" i="5"/>
  <c r="R53" i="5"/>
  <c r="R83" i="5"/>
  <c r="R79" i="5"/>
  <c r="R91" i="5"/>
  <c r="S80" i="5"/>
  <c r="AG104" i="5"/>
  <c r="R94" i="5"/>
  <c r="R76" i="5"/>
  <c r="R81" i="5"/>
  <c r="S82" i="5"/>
  <c r="AG88" i="5"/>
  <c r="R87" i="5"/>
  <c r="S84" i="5"/>
  <c r="AG78" i="5"/>
  <c r="S26" i="5"/>
  <c r="AG72" i="5"/>
  <c r="S25" i="5"/>
  <c r="S29" i="5"/>
  <c r="S27" i="5"/>
  <c r="S31" i="5"/>
  <c r="S28" i="5"/>
  <c r="AG119" i="5"/>
  <c r="AG30" i="5"/>
  <c r="S42" i="5"/>
  <c r="S41" i="5"/>
  <c r="S71" i="5"/>
  <c r="AG62" i="5"/>
  <c r="R55" i="5"/>
  <c r="R98" i="5"/>
  <c r="R39" i="5"/>
  <c r="R96" i="5"/>
  <c r="R89" i="5"/>
  <c r="R90" i="5"/>
  <c r="R75" i="5"/>
  <c r="S77" i="5"/>
  <c r="S97" i="5"/>
  <c r="AG53" i="5"/>
  <c r="AG83" i="5"/>
  <c r="R40" i="5"/>
  <c r="AG91" i="5"/>
  <c r="AG80" i="5"/>
  <c r="S52" i="5"/>
  <c r="S94" i="5"/>
  <c r="S76" i="5"/>
  <c r="S61" i="5"/>
  <c r="AG82" i="5"/>
  <c r="R88" i="5"/>
  <c r="R86" i="5"/>
  <c r="R84" i="5"/>
  <c r="S78" i="5"/>
  <c r="R95" i="5"/>
  <c r="S72" i="5"/>
  <c r="AG25" i="5"/>
  <c r="R27" i="5"/>
  <c r="R31" i="5"/>
  <c r="S18" i="5"/>
  <c r="S119" i="5"/>
  <c r="R30" i="5"/>
  <c r="S73" i="5"/>
  <c r="AG41" i="5"/>
  <c r="AG105" i="5"/>
  <c r="S62" i="5"/>
  <c r="S55" i="5"/>
  <c r="AG70" i="5"/>
  <c r="AG39" i="5"/>
  <c r="AG96" i="5"/>
  <c r="R102" i="5"/>
  <c r="AG90" i="5"/>
  <c r="S75" i="5"/>
  <c r="R103" i="5"/>
  <c r="AG97" i="5"/>
  <c r="S53" i="5"/>
  <c r="AG79" i="5"/>
  <c r="AG40" i="5"/>
  <c r="S91" i="5"/>
  <c r="R104" i="5"/>
  <c r="R52" i="5"/>
  <c r="AG94" i="5"/>
  <c r="AG81" i="5"/>
  <c r="AG61" i="5"/>
  <c r="R82" i="5"/>
  <c r="AG87" i="5"/>
  <c r="S86" i="5"/>
  <c r="AG84" i="5"/>
  <c r="AG26" i="5"/>
  <c r="S95" i="5"/>
  <c r="R72" i="5"/>
  <c r="R29" i="5"/>
  <c r="AC24" i="5" l="1"/>
  <c r="AC29" i="5"/>
  <c r="F29" i="6"/>
  <c r="E29" i="12"/>
  <c r="AC72" i="5"/>
  <c r="F72" i="6"/>
  <c r="E72" i="12"/>
  <c r="G95" i="6"/>
  <c r="G86" i="6"/>
  <c r="AC82" i="5"/>
  <c r="F82" i="6"/>
  <c r="E82" i="12"/>
  <c r="F52" i="6"/>
  <c r="AC52" i="5"/>
  <c r="E52" i="12"/>
  <c r="F104" i="6"/>
  <c r="AC104" i="5"/>
  <c r="E104" i="12"/>
  <c r="G91" i="6"/>
  <c r="G53" i="6"/>
  <c r="AC103" i="5"/>
  <c r="F103" i="6"/>
  <c r="E103" i="12"/>
  <c r="G75" i="6"/>
  <c r="E102" i="12"/>
  <c r="AC102" i="5"/>
  <c r="F102" i="6"/>
  <c r="G55" i="6"/>
  <c r="G62" i="6"/>
  <c r="G73" i="6"/>
  <c r="F30" i="6"/>
  <c r="E30" i="12"/>
  <c r="AC30" i="5"/>
  <c r="G119" i="6"/>
  <c r="G18" i="6"/>
  <c r="E31" i="12"/>
  <c r="AC31" i="5"/>
  <c r="F31" i="6"/>
  <c r="AC27" i="5"/>
  <c r="F27" i="6"/>
  <c r="E27" i="12"/>
  <c r="G72" i="6"/>
  <c r="AC95" i="5"/>
  <c r="F95" i="6"/>
  <c r="E95" i="12"/>
  <c r="G78" i="6"/>
  <c r="E84" i="12"/>
  <c r="AC84" i="5"/>
  <c r="F84" i="6"/>
  <c r="F86" i="6"/>
  <c r="E86" i="12"/>
  <c r="AC86" i="5"/>
  <c r="E88" i="12"/>
  <c r="AC88" i="5"/>
  <c r="F88" i="6"/>
  <c r="G61" i="6"/>
  <c r="G76" i="6"/>
  <c r="G94" i="6"/>
  <c r="G52" i="6"/>
  <c r="AC40" i="5"/>
  <c r="E40" i="12"/>
  <c r="F40" i="6"/>
  <c r="G97" i="6"/>
  <c r="G77" i="6"/>
  <c r="E75" i="12"/>
  <c r="F75" i="6"/>
  <c r="AC75" i="5"/>
  <c r="E90" i="12"/>
  <c r="F90" i="6"/>
  <c r="AC90" i="5"/>
  <c r="F89" i="6"/>
  <c r="E89" i="12"/>
  <c r="AC89" i="5"/>
  <c r="E96" i="12"/>
  <c r="F96" i="6"/>
  <c r="AC96" i="5"/>
  <c r="AC39" i="5"/>
  <c r="E39" i="12"/>
  <c r="F39" i="6"/>
  <c r="F98" i="6"/>
  <c r="AC98" i="5"/>
  <c r="E98" i="12"/>
  <c r="AC55" i="5"/>
  <c r="E55" i="12"/>
  <c r="F55" i="6"/>
  <c r="G71" i="6"/>
  <c r="G41" i="6"/>
  <c r="AC41" i="5"/>
  <c r="G42" i="6"/>
  <c r="G28" i="6"/>
  <c r="G31" i="6"/>
  <c r="G27" i="6"/>
  <c r="G29" i="6"/>
  <c r="G25" i="6"/>
  <c r="G26" i="6"/>
  <c r="G84" i="6"/>
  <c r="E87" i="12"/>
  <c r="AC87" i="5"/>
  <c r="F87" i="6"/>
  <c r="G82" i="6"/>
  <c r="AC81" i="5"/>
  <c r="E81" i="12"/>
  <c r="F81" i="6"/>
  <c r="E76" i="12"/>
  <c r="F76" i="6"/>
  <c r="AC76" i="5"/>
  <c r="E94" i="12"/>
  <c r="F94" i="6"/>
  <c r="AC94" i="5"/>
  <c r="G80" i="6"/>
  <c r="F91" i="6"/>
  <c r="E91" i="12"/>
  <c r="AC91" i="5"/>
  <c r="E79" i="12"/>
  <c r="AC79" i="5"/>
  <c r="F79" i="6"/>
  <c r="F83" i="6"/>
  <c r="AC83" i="5"/>
  <c r="E83" i="12"/>
  <c r="F53" i="6"/>
  <c r="AC53" i="5"/>
  <c r="E53" i="12"/>
  <c r="G96" i="6"/>
  <c r="AC70" i="5"/>
  <c r="E70" i="12"/>
  <c r="F70" i="6"/>
  <c r="G105" i="6"/>
  <c r="F71" i="6"/>
  <c r="E71" i="12"/>
  <c r="AC71" i="5"/>
  <c r="G30" i="6"/>
  <c r="AC51" i="5"/>
  <c r="E51" i="12"/>
  <c r="F51" i="6"/>
  <c r="AC25" i="5"/>
  <c r="E25" i="12"/>
  <c r="F25" i="6"/>
  <c r="F26" i="6"/>
  <c r="E26" i="12"/>
  <c r="AC26" i="5"/>
  <c r="E78" i="12"/>
  <c r="F78" i="6"/>
  <c r="AC78" i="5"/>
  <c r="G87" i="6"/>
  <c r="G88" i="6"/>
  <c r="AC61" i="5"/>
  <c r="E61" i="12"/>
  <c r="F61" i="6"/>
  <c r="G81" i="6"/>
  <c r="G104" i="6"/>
  <c r="AC80" i="5"/>
  <c r="F80" i="6"/>
  <c r="E80" i="12"/>
  <c r="G40" i="6"/>
  <c r="G79" i="6"/>
  <c r="G83" i="6"/>
  <c r="E97" i="12"/>
  <c r="F97" i="6"/>
  <c r="AC97" i="5"/>
  <c r="G103" i="6"/>
  <c r="F77" i="6"/>
  <c r="E77" i="12"/>
  <c r="AC77" i="5"/>
  <c r="G90" i="6"/>
  <c r="G102" i="6"/>
  <c r="G89" i="6"/>
  <c r="G39" i="6"/>
  <c r="G70" i="6"/>
  <c r="G98" i="6"/>
  <c r="E62" i="12"/>
  <c r="F62" i="6"/>
  <c r="AC62" i="5"/>
  <c r="AC105" i="5"/>
  <c r="E105" i="12"/>
  <c r="F105" i="6"/>
  <c r="AC73" i="5"/>
  <c r="F73" i="6"/>
  <c r="E73" i="12"/>
  <c r="AC42" i="5"/>
  <c r="E42" i="12"/>
  <c r="F42" i="6"/>
  <c r="E119" i="12"/>
  <c r="AC119" i="5"/>
  <c r="F119" i="6"/>
  <c r="AC18" i="5"/>
  <c r="F18" i="6"/>
  <c r="E18" i="12"/>
  <c r="AC28" i="5"/>
  <c r="E28" i="12"/>
  <c r="F28" i="6"/>
  <c r="E23" i="12"/>
  <c r="AC23" i="5"/>
  <c r="F23" i="6"/>
  <c r="AC33" i="5"/>
  <c r="F33" i="6"/>
  <c r="E33" i="12"/>
  <c r="AC11" i="5" l="1"/>
</calcChain>
</file>

<file path=xl/comments1.xml><?xml version="1.0" encoding="utf-8"?>
<comments xmlns="http://schemas.openxmlformats.org/spreadsheetml/2006/main">
  <authors>
    <author/>
  </authors>
  <commentList>
    <comment ref="F40" authorId="0" shapeId="0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6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J7" authorId="0" shapeId="0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 shapeId="0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 shapeId="0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15" authorId="0" shapeId="0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C8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 shapeId="0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 shapeId="0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D7" authorId="0" shapeId="0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 shapeId="0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sharedStrings.xml><?xml version="1.0" encoding="utf-8"?>
<sst xmlns="http://schemas.openxmlformats.org/spreadsheetml/2006/main" count="2378" uniqueCount="503">
  <si>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</si>
  <si>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</si>
  <si>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</si>
  <si>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</si>
  <si>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</si>
  <si>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</si>
  <si>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</si>
  <si>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</si>
  <si>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</si>
  <si>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</si>
  <si>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</si>
  <si>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</si>
  <si>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</si>
  <si>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</si>
  <si>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</si>
  <si>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</si>
  <si>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</si>
  <si>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</si>
  <si>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</si>
  <si>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</si>
  <si>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</si>
  <si>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</si>
  <si>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</si>
  <si>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</si>
  <si>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</si>
  <si>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</si>
  <si>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</si>
  <si>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</si>
  <si>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</si>
  <si>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</si>
  <si>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</si>
  <si>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</si>
  <si>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</si>
  <si>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</si>
  <si>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</si>
  <si>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</si>
  <si>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</si>
  <si>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</si>
  <si>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</si>
  <si>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</si>
  <si>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</si>
  <si>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</si>
  <si>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</si>
  <si>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</si>
  <si>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</si>
  <si>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</si>
  <si>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</si>
  <si>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</si>
  <si>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</si>
  <si>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</si>
  <si>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</si>
  <si>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</si>
  <si>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</si>
  <si>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</si>
  <si>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</si>
  <si>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</si>
  <si>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</si>
  <si>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</si>
  <si>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</si>
  <si>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</si>
  <si>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</si>
  <si>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</si>
  <si>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</si>
  <si>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</si>
  <si>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</si>
  <si>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</si>
  <si>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</si>
  <si>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</si>
  <si>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</si>
  <si>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</si>
  <si>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</si>
  <si>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</si>
  <si>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</si>
  <si>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</si>
  <si>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</si>
  <si>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</si>
  <si>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</si>
  <si>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</si>
  <si>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</si>
  <si>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</si>
  <si>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</si>
  <si>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</si>
  <si>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</si>
  <si>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</si>
  <si>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</si>
  <si>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</si>
  <si>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</si>
  <si>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</si>
  <si>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</si>
  <si>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</si>
  <si>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</si>
  <si>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</si>
  <si>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</si>
  <si>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</si>
  <si>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</si>
  <si>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</si>
  <si>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</si>
  <si>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</si>
  <si>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</si>
  <si>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</si>
  <si>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</si>
  <si>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</si>
  <si>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</si>
  <si>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</si>
  <si>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</si>
  <si>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</si>
  <si>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</si>
  <si>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</si>
  <si>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</si>
  <si>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</si>
  <si>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</si>
  <si>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</si>
  <si>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</si>
  <si>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</si>
  <si>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</si>
  <si>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</si>
  <si>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</si>
  <si>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</si>
  <si>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</si>
  <si>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</si>
  <si>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</si>
  <si>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</si>
  <si>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</si>
  <si>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</si>
  <si>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</si>
  <si>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</si>
  <si>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</si>
  <si>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</si>
  <si>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</si>
  <si>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</si>
  <si>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</si>
  <si>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</si>
  <si>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</si>
  <si>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</si>
  <si>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</si>
  <si>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</si>
  <si>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</si>
  <si>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</si>
  <si>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</si>
  <si>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</si>
  <si>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</si>
  <si>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</si>
  <si>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</si>
  <si>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</si>
  <si>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</si>
  <si>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</si>
  <si>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</si>
  <si>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</si>
  <si>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</si>
  <si>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</si>
  <si>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</si>
  <si>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</si>
  <si>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</si>
  <si>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</si>
  <si>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</si>
  <si>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</si>
  <si>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</si>
  <si>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</si>
  <si>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</si>
  <si>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</si>
  <si>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</si>
  <si>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</si>
  <si>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</si>
  <si>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</si>
  <si>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</si>
  <si>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</si>
  <si>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</si>
  <si>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</si>
  <si>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</si>
  <si>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</si>
  <si>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</si>
  <si>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</si>
  <si>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</si>
  <si>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</si>
  <si>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</si>
  <si>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</si>
  <si>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</si>
  <si>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</si>
  <si>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</si>
  <si>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</si>
  <si>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</si>
  <si>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</si>
  <si>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</si>
  <si>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</si>
  <si>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</si>
  <si>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</si>
  <si>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</si>
  <si>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</si>
  <si>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</si>
  <si>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</si>
  <si>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</si>
  <si>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</si>
  <si>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</si>
  <si>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</si>
  <si>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</si>
  <si>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</si>
  <si>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</si>
  <si>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</si>
  <si>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</si>
  <si>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</si>
  <si>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</si>
  <si>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</si>
  <si>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</si>
  <si>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</si>
  <si>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</si>
  <si>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</si>
  <si>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</si>
  <si>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</si>
  <si>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</si>
  <si>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</si>
  <si>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</si>
  <si>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</si>
  <si>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</si>
  <si>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</si>
  <si>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</si>
  <si>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</si>
  <si>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</si>
  <si>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</si>
  <si>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</si>
  <si>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</si>
  <si>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</si>
  <si>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</si>
  <si>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</si>
  <si>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</si>
  <si>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</si>
  <si>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</si>
  <si>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</si>
  <si>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</si>
  <si>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</si>
  <si>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</si>
  <si>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</si>
  <si>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</si>
  <si>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</si>
  <si>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</si>
  <si>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</si>
  <si>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</si>
  <si>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</si>
  <si>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</si>
  <si>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</si>
  <si>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</si>
  <si>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</si>
  <si>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</si>
  <si>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</si>
  <si>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</si>
  <si>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</si>
  <si>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</si>
  <si>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</si>
  <si>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</si>
  <si>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</si>
  <si>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</si>
  <si>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</si>
  <si>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</si>
  <si>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</si>
  <si>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</si>
  <si>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</si>
  <si>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</si>
  <si>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</si>
  <si>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</si>
  <si>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</si>
  <si>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</si>
  <si>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</si>
  <si>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</si>
  <si>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</si>
  <si>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</si>
  <si>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</si>
  <si>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</si>
  <si>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</si>
  <si>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</si>
  <si>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</si>
  <si>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</si>
  <si>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</si>
  <si>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</si>
  <si>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</si>
  <si>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</si>
  <si>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</si>
  <si>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</si>
  <si>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</si>
  <si>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</si>
  <si>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</si>
  <si>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</si>
  <si>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</si>
  <si>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</si>
  <si>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</si>
  <si>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</si>
  <si>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</si>
  <si>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</si>
  <si>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</si>
  <si>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</si>
  <si>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</si>
  <si>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</si>
  <si>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</si>
  <si>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</si>
  <si>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</si>
  <si>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</si>
  <si>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</si>
  <si>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</si>
  <si>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</si>
  <si>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</si>
  <si>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</si>
  <si>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</si>
  <si>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</si>
  <si>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</si>
  <si>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</si>
  <si>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</si>
  <si>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</si>
  <si>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</si>
  <si>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</si>
  <si>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</si>
  <si>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</si>
  <si>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</si>
  <si>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</si>
  <si>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</si>
  <si>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</si>
  <si>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</si>
  <si>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</si>
  <si>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</si>
  <si>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</si>
  <si>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</si>
  <si>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</si>
  <si>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</si>
  <si>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</si>
  <si>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</si>
  <si>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</si>
  <si>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</si>
  <si>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</si>
  <si>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</si>
  <si>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</si>
  <si>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</si>
  <si>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</si>
  <si>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</si>
  <si>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</si>
  <si>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</si>
  <si>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</si>
  <si>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</si>
  <si>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</si>
  <si>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</si>
  <si>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</si>
  <si>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</si>
  <si>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</si>
  <si>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</si>
  <si>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</si>
  <si>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</si>
  <si>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</si>
  <si>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</si>
  <si>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</si>
  <si>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</si>
  <si>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</si>
  <si>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</si>
  <si>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</si>
  <si>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</si>
  <si>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</si>
  <si>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</si>
  <si>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</si>
  <si>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</si>
  <si>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</si>
  <si>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</si>
  <si>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</si>
  <si>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</si>
  <si>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</si>
  <si>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</si>
  <si>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</si>
  <si>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</si>
  <si>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</si>
  <si>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</si>
  <si>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</si>
  <si>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</si>
  <si>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</si>
  <si>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</si>
  <si>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</si>
  <si>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</si>
  <si>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</si>
  <si>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</si>
  <si>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</si>
  <si>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</si>
  <si>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</si>
  <si>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</si>
  <si>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</si>
  <si>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</si>
  <si>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</si>
  <si>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</si>
  <si>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</si>
  <si>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</si>
  <si>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</si>
  <si>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</si>
  <si>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</si>
  <si>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</si>
  <si>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</si>
  <si>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</si>
  <si>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</si>
  <si>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</si>
  <si>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</si>
  <si>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</si>
  <si>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</si>
  <si>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</si>
  <si>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</si>
  <si>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</si>
  <si>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</si>
  <si>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</si>
  <si>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</si>
  <si>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</si>
  <si>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</si>
  <si>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</si>
  <si>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</si>
  <si>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</si>
  <si>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</si>
  <si>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</si>
  <si>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</si>
  <si>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</si>
  <si>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</si>
  <si>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</si>
  <si>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</si>
  <si>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</si>
  <si>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</si>
  <si>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</si>
  <si>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</si>
  <si>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</si>
  <si>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</si>
  <si>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</si>
  <si>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</si>
  <si>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</si>
  <si>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</si>
  <si>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</si>
  <si>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</si>
  <si>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</si>
  <si>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</si>
  <si>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</si>
  <si>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</si>
  <si>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</si>
  <si>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</si>
  <si>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</si>
  <si>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</si>
  <si>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</si>
  <si>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</si>
  <si>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</si>
  <si>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</si>
  <si>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</si>
  <si>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</si>
  <si>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</si>
  <si>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</si>
  <si>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</si>
  <si>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</si>
  <si>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</si>
  <si>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</si>
  <si>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OGU</t>
  </si>
  <si>
    <t>MUNICIPIO DE CÉU AZUL</t>
  </si>
  <si>
    <t>ALESSANDRO SANFELIZ</t>
  </si>
  <si>
    <t>A137617-9</t>
  </si>
  <si>
    <t>GERMANO BONAMIGO</t>
  </si>
  <si>
    <t>PREFEITO MUNICIPAL</t>
  </si>
  <si>
    <t>EMPREITADA POR PREÇO GLOBAL</t>
  </si>
  <si>
    <t>4813</t>
  </si>
  <si>
    <t>SINAPI-I</t>
  </si>
  <si>
    <t>94971</t>
  </si>
  <si>
    <t>92919</t>
  </si>
  <si>
    <t>6189</t>
  </si>
  <si>
    <t>98557</t>
  </si>
  <si>
    <t>101166</t>
  </si>
  <si>
    <t>87478</t>
  </si>
  <si>
    <t>87797</t>
  </si>
  <si>
    <t>87532</t>
  </si>
  <si>
    <t>EMBOÇO, EM ARGAMASSA TRAÇO 1:2:8, PREPARO MANUAL, APLICADO MANUALMENTE EM FACES INTERNAS DE PAREDES, PARA AMBIENTE COM ÁREA  ENTRE 5M2 E 10M2, ESPESSURA DE 20MM, COM EXECUÇÃO DE TALISCAS. AF_06/2014</t>
  </si>
  <si>
    <t>87894</t>
  </si>
  <si>
    <t>Cotação</t>
  </si>
  <si>
    <t>001</t>
  </si>
  <si>
    <t>94207</t>
  </si>
  <si>
    <t>40783</t>
  </si>
  <si>
    <t>96485</t>
  </si>
  <si>
    <t>87247</t>
  </si>
  <si>
    <t>87372</t>
  </si>
  <si>
    <t>87265</t>
  </si>
  <si>
    <t>96130</t>
  </si>
  <si>
    <t>88487</t>
  </si>
  <si>
    <t>88489</t>
  </si>
  <si>
    <t>25976</t>
  </si>
  <si>
    <t>86888</t>
  </si>
  <si>
    <t>100858</t>
  </si>
  <si>
    <t>100860</t>
  </si>
  <si>
    <t>100689</t>
  </si>
  <si>
    <t>94570</t>
  </si>
  <si>
    <t>91926</t>
  </si>
  <si>
    <t>91931</t>
  </si>
  <si>
    <t>89714</t>
  </si>
  <si>
    <t>89446</t>
  </si>
  <si>
    <t>002</t>
  </si>
  <si>
    <t>86893</t>
  </si>
  <si>
    <t>86874</t>
  </si>
  <si>
    <t>86934</t>
  </si>
  <si>
    <t>37562</t>
  </si>
  <si>
    <t>34449</t>
  </si>
  <si>
    <t>96522</t>
  </si>
  <si>
    <t>92027</t>
  </si>
  <si>
    <t>91996</t>
  </si>
  <si>
    <t>91993</t>
  </si>
  <si>
    <t>97592</t>
  </si>
  <si>
    <t>11743</t>
  </si>
  <si>
    <t>89352</t>
  </si>
  <si>
    <t>91341</t>
  </si>
  <si>
    <t>92979</t>
  </si>
  <si>
    <t>13393</t>
  </si>
  <si>
    <t>40400</t>
  </si>
  <si>
    <t>99839</t>
  </si>
  <si>
    <t>CONSTRUÇÃO DE CÓPA E APOIO PARA FUNCIONÁRIOS PÁTIO DE MAQUINAS</t>
  </si>
  <si>
    <t xml:space="preserve">CONSTRUÇÃO DE CÓPA E APOIO PARA FUNCIONÁRIOS PÁTIO DE MAQUINAS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</si>
</sst>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71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6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8" fillId="0" borderId="0" applyFill="0" applyBorder="0" applyAlignment="0" applyProtection="0"/>
    <xf numFmtId="164" fontId="58" fillId="0" borderId="0" applyFill="0" applyBorder="0" applyAlignment="0" applyProtection="0"/>
    <xf numFmtId="0" fontId="9" fillId="6" borderId="0" applyNumberFormat="0" applyBorder="0" applyAlignment="0" applyProtection="0"/>
    <xf numFmtId="0" fontId="58" fillId="0" borderId="0"/>
    <xf numFmtId="0" fontId="1" fillId="0" borderId="0"/>
    <xf numFmtId="0" fontId="10" fillId="0" borderId="0"/>
    <xf numFmtId="0" fontId="58" fillId="5" borderId="4" applyNumberFormat="0" applyAlignment="0" applyProtection="0"/>
    <xf numFmtId="9" fontId="58" fillId="0" borderId="0" applyFill="0" applyBorder="0" applyAlignment="0" applyProtection="0"/>
    <xf numFmtId="9" fontId="58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8" fillId="0" borderId="0" applyFill="0" applyBorder="0" applyAlignment="0" applyProtection="0"/>
    <xf numFmtId="165" fontId="58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8" fillId="0" borderId="12" xfId="0" applyFont="1" applyBorder="1" applyAlignment="1">
      <alignment horizontal="left"/>
    </xf>
    <xf numFmtId="0" fontId="0" fillId="0" borderId="29" xfId="0" applyBorder="1"/>
    <xf numFmtId="0" fontId="29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30" fillId="0" borderId="12" xfId="0" applyFont="1" applyBorder="1"/>
    <xf numFmtId="0" fontId="29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1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2" fillId="0" borderId="32" xfId="35" applyFont="1" applyBorder="1" applyAlignment="1" applyProtection="1">
      <alignment horizontal="center" vertical="center"/>
    </xf>
    <xf numFmtId="10" fontId="32" fillId="6" borderId="32" xfId="35" applyNumberFormat="1" applyFont="1" applyFill="1" applyBorder="1" applyAlignment="1" applyProtection="1">
      <alignment horizontal="center" vertical="center"/>
      <protection locked="0"/>
    </xf>
    <xf numFmtId="10" fontId="32" fillId="0" borderId="32" xfId="35" applyNumberFormat="1" applyFont="1" applyFill="1" applyBorder="1" applyAlignment="1" applyProtection="1">
      <alignment horizontal="center" vertical="center"/>
    </xf>
    <xf numFmtId="10" fontId="32" fillId="0" borderId="32" xfId="35" applyNumberFormat="1" applyFont="1" applyFill="1" applyBorder="1" applyAlignment="1" applyProtection="1">
      <alignment horizontal="center" vertical="center" wrapText="1"/>
    </xf>
    <xf numFmtId="0" fontId="32" fillId="0" borderId="32" xfId="35" applyFont="1" applyFill="1" applyBorder="1" applyAlignment="1" applyProtection="1">
      <alignment horizontal="center" vertical="center" wrapText="1"/>
    </xf>
    <xf numFmtId="0" fontId="32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3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5" fillId="0" borderId="0" xfId="0" applyFont="1" applyBorder="1" applyAlignment="1" applyProtection="1">
      <alignment horizontal="righ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top"/>
    </xf>
    <xf numFmtId="0" fontId="37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2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2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8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9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40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4" fillId="0" borderId="34" xfId="0" applyFont="1" applyBorder="1" applyAlignment="1" applyProtection="1">
      <alignment horizontal="center" vertical="center" wrapText="1"/>
    </xf>
    <xf numFmtId="0" fontId="45" fillId="0" borderId="0" xfId="0" applyFont="1"/>
    <xf numFmtId="0" fontId="24" fillId="0" borderId="14" xfId="0" applyFont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7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1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1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2" fillId="0" borderId="0" xfId="0" applyFont="1"/>
    <xf numFmtId="0" fontId="32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2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indent="10"/>
    </xf>
    <xf numFmtId="0" fontId="39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4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9" fillId="0" borderId="0" xfId="0" applyFont="1"/>
    <xf numFmtId="1" fontId="46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8" fillId="0" borderId="32" xfId="0" applyFont="1" applyBorder="1" applyAlignment="1">
      <alignment horizontal="center" vertical="center"/>
    </xf>
    <xf numFmtId="171" fontId="58" fillId="0" borderId="32" xfId="50" applyFill="1" applyBorder="1" applyAlignment="1" applyProtection="1"/>
    <xf numFmtId="0" fontId="48" fillId="19" borderId="32" xfId="0" applyFont="1" applyFill="1" applyBorder="1" applyAlignment="1">
      <alignment horizontal="center" vertical="center"/>
    </xf>
    <xf numFmtId="171" fontId="58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8" fillId="0" borderId="0" xfId="36" applyFont="1" applyAlignment="1">
      <alignment horizontal="center"/>
    </xf>
    <xf numFmtId="0" fontId="48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9" fillId="0" borderId="58" xfId="40" applyNumberFormat="1" applyFont="1" applyFill="1" applyBorder="1" applyAlignment="1" applyProtection="1">
      <alignment horizontal="center"/>
    </xf>
    <xf numFmtId="10" fontId="48" fillId="0" borderId="34" xfId="36" applyNumberFormat="1" applyFont="1" applyBorder="1" applyAlignment="1">
      <alignment horizontal="center"/>
    </xf>
    <xf numFmtId="172" fontId="48" fillId="0" borderId="59" xfId="36" applyNumberFormat="1" applyFont="1" applyBorder="1" applyAlignment="1">
      <alignment horizontal="left"/>
    </xf>
    <xf numFmtId="10" fontId="48" fillId="0" borderId="60" xfId="36" applyNumberFormat="1" applyFont="1" applyBorder="1" applyAlignment="1">
      <alignment horizontal="left"/>
    </xf>
    <xf numFmtId="1" fontId="48" fillId="0" borderId="60" xfId="36" applyNumberFormat="1" applyFont="1" applyBorder="1" applyAlignment="1">
      <alignment horizontal="center"/>
    </xf>
    <xf numFmtId="0" fontId="48" fillId="0" borderId="60" xfId="36" applyFont="1" applyBorder="1" applyAlignment="1">
      <alignment horizontal="center"/>
    </xf>
    <xf numFmtId="173" fontId="58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9" fillId="0" borderId="62" xfId="40" applyNumberFormat="1" applyFont="1" applyFill="1" applyBorder="1" applyAlignment="1" applyProtection="1">
      <alignment horizontal="center"/>
    </xf>
    <xf numFmtId="10" fontId="49" fillId="0" borderId="63" xfId="40" applyNumberFormat="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8" fillId="0" borderId="64" xfId="36" applyFont="1" applyBorder="1"/>
    <xf numFmtId="0" fontId="34" fillId="0" borderId="64" xfId="36" applyFont="1" applyBorder="1" applyAlignment="1"/>
    <xf numFmtId="0" fontId="48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50" fillId="0" borderId="65" xfId="51" applyFont="1" applyFill="1" applyBorder="1" applyAlignment="1" applyProtection="1">
      <alignment horizontal="center"/>
    </xf>
    <xf numFmtId="0" fontId="48" fillId="0" borderId="14" xfId="36" applyFont="1" applyBorder="1" applyAlignment="1">
      <alignment horizontal="center"/>
    </xf>
    <xf numFmtId="165" fontId="50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50" fillId="0" borderId="56" xfId="51" applyFont="1" applyFill="1" applyBorder="1" applyAlignment="1" applyProtection="1">
      <alignment horizontal="center"/>
    </xf>
    <xf numFmtId="165" fontId="50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8" fillId="0" borderId="0" xfId="36" applyFont="1" applyBorder="1"/>
    <xf numFmtId="0" fontId="48" fillId="0" borderId="0" xfId="36" applyFont="1" applyBorder="1" applyAlignment="1">
      <alignment horizontal="center"/>
    </xf>
    <xf numFmtId="0" fontId="41" fillId="0" borderId="0" xfId="0" applyFont="1" applyAlignment="1">
      <alignment horizontal="center" textRotation="90"/>
    </xf>
    <xf numFmtId="0" fontId="51" fillId="0" borderId="33" xfId="36" applyFont="1" applyBorder="1"/>
    <xf numFmtId="0" fontId="48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51" fillId="0" borderId="31" xfId="36" applyFont="1" applyBorder="1" applyAlignment="1">
      <alignment horizontal="center"/>
    </xf>
    <xf numFmtId="0" fontId="48" fillId="0" borderId="47" xfId="36" applyFont="1" applyBorder="1" applyAlignment="1"/>
    <xf numFmtId="0" fontId="48" fillId="0" borderId="14" xfId="36" applyNumberFormat="1" applyFont="1" applyBorder="1" applyAlignment="1">
      <alignment horizontal="center"/>
    </xf>
    <xf numFmtId="0" fontId="48" fillId="17" borderId="32" xfId="36" applyFont="1" applyFill="1" applyBorder="1" applyAlignment="1" applyProtection="1">
      <alignment horizontal="center"/>
      <protection locked="0"/>
    </xf>
    <xf numFmtId="0" fontId="48" fillId="0" borderId="30" xfId="36" applyFont="1" applyBorder="1" applyAlignment="1"/>
    <xf numFmtId="0" fontId="51" fillId="0" borderId="50" xfId="36" applyFont="1" applyBorder="1" applyAlignment="1">
      <alignment horizontal="center"/>
    </xf>
    <xf numFmtId="0" fontId="51" fillId="0" borderId="10" xfId="36" applyFont="1" applyBorder="1" applyAlignment="1">
      <alignment horizontal="left" vertical="center" wrapText="1"/>
    </xf>
    <xf numFmtId="0" fontId="48" fillId="0" borderId="10" xfId="36" applyFont="1" applyBorder="1" applyAlignment="1">
      <alignment horizontal="center" vertical="center"/>
    </xf>
    <xf numFmtId="0" fontId="51" fillId="0" borderId="51" xfId="36" applyFont="1" applyFill="1" applyBorder="1" applyAlignment="1" applyProtection="1">
      <alignment horizontal="center"/>
      <protection locked="0"/>
    </xf>
    <xf numFmtId="0" fontId="51" fillId="0" borderId="52" xfId="36" applyFont="1" applyBorder="1" applyAlignment="1">
      <alignment horizontal="center"/>
    </xf>
    <xf numFmtId="0" fontId="48" fillId="0" borderId="0" xfId="36" applyFont="1" applyAlignment="1">
      <alignment horizontal="center" wrapText="1"/>
    </xf>
    <xf numFmtId="174" fontId="51" fillId="0" borderId="55" xfId="36" applyNumberFormat="1" applyFont="1" applyBorder="1" applyAlignment="1">
      <alignment horizontal="center"/>
    </xf>
    <xf numFmtId="0" fontId="51" fillId="0" borderId="30" xfId="36" applyFont="1" applyBorder="1" applyAlignment="1">
      <alignment horizontal="left" vertical="center" wrapText="1"/>
    </xf>
    <xf numFmtId="0" fontId="48" fillId="0" borderId="30" xfId="36" applyFont="1" applyBorder="1" applyAlignment="1">
      <alignment horizontal="center" vertical="center"/>
    </xf>
    <xf numFmtId="0" fontId="48" fillId="0" borderId="30" xfId="36" applyFont="1" applyBorder="1" applyAlignment="1">
      <alignment horizontal="center" vertical="center" wrapText="1"/>
    </xf>
    <xf numFmtId="174" fontId="51" fillId="0" borderId="56" xfId="36" applyNumberFormat="1" applyFont="1" applyFill="1" applyBorder="1" applyAlignment="1" applyProtection="1">
      <alignment horizontal="center"/>
      <protection locked="0"/>
    </xf>
    <xf numFmtId="174" fontId="51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8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8" fillId="0" borderId="40" xfId="50" applyFill="1" applyBorder="1" applyAlignment="1" applyProtection="1">
      <alignment shrinkToFit="1"/>
    </xf>
    <xf numFmtId="0" fontId="48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8" fillId="0" borderId="39" xfId="50" applyFill="1" applyBorder="1" applyAlignment="1" applyProtection="1">
      <alignment shrinkToFit="1"/>
    </xf>
    <xf numFmtId="171" fontId="58" fillId="0" borderId="41" xfId="50" applyFill="1" applyBorder="1" applyAlignment="1" applyProtection="1">
      <alignment shrinkToFit="1"/>
    </xf>
    <xf numFmtId="0" fontId="51" fillId="0" borderId="0" xfId="36" applyFont="1" applyAlignment="1">
      <alignment horizontal="left"/>
    </xf>
    <xf numFmtId="0" fontId="48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8" fillId="8" borderId="39" xfId="50" applyFill="1" applyBorder="1" applyAlignment="1" applyProtection="1">
      <alignment shrinkToFit="1"/>
    </xf>
    <xf numFmtId="171" fontId="58" fillId="8" borderId="40" xfId="50" applyFill="1" applyBorder="1" applyAlignment="1" applyProtection="1">
      <alignment shrinkToFit="1"/>
    </xf>
    <xf numFmtId="171" fontId="58" fillId="8" borderId="41" xfId="50" applyFill="1" applyBorder="1" applyAlignment="1" applyProtection="1">
      <alignment shrinkToFit="1"/>
    </xf>
    <xf numFmtId="171" fontId="58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8" fillId="0" borderId="70" xfId="50" applyFill="1" applyBorder="1" applyAlignment="1" applyProtection="1">
      <alignment shrinkToFit="1"/>
    </xf>
    <xf numFmtId="171" fontId="58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8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8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3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8" fillId="20" borderId="32" xfId="36" applyFont="1" applyFill="1" applyBorder="1" applyAlignment="1">
      <alignment horizontal="center"/>
    </xf>
    <xf numFmtId="0" fontId="51" fillId="0" borderId="12" xfId="36" applyFont="1" applyBorder="1"/>
    <xf numFmtId="0" fontId="48" fillId="0" borderId="12" xfId="36" applyFont="1" applyBorder="1" applyAlignment="1">
      <alignment horizontal="center"/>
    </xf>
    <xf numFmtId="0" fontId="0" fillId="0" borderId="33" xfId="0" applyBorder="1"/>
    <xf numFmtId="0" fontId="54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9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5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7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8" fillId="0" borderId="0" xfId="50" applyFill="1" applyBorder="1" applyAlignment="1" applyProtection="1"/>
    <xf numFmtId="0" fontId="61" fillId="0" borderId="0" xfId="0" applyFont="1" applyAlignment="1">
      <alignment horizontal="center"/>
    </xf>
    <xf numFmtId="0" fontId="0" fillId="0" borderId="0" xfId="0" applyFill="1" applyBorder="1"/>
    <xf numFmtId="0" fontId="61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61" fillId="0" borderId="0" xfId="0" applyFont="1"/>
    <xf numFmtId="0" fontId="0" fillId="0" borderId="45" xfId="0" applyFont="1" applyFill="1" applyBorder="1"/>
    <xf numFmtId="0" fontId="49" fillId="0" borderId="0" xfId="0" applyFont="1" applyFill="1" applyAlignment="1">
      <alignment horizontal="center"/>
    </xf>
    <xf numFmtId="0" fontId="49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4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8" fillId="24" borderId="45" xfId="36" applyFont="1" applyFill="1" applyBorder="1"/>
    <xf numFmtId="0" fontId="48" fillId="22" borderId="0" xfId="36" applyFont="1" applyFill="1"/>
    <xf numFmtId="0" fontId="48" fillId="23" borderId="32" xfId="36" applyFont="1" applyFill="1" applyBorder="1" applyAlignment="1">
      <alignment horizontal="center"/>
    </xf>
    <xf numFmtId="0" fontId="48" fillId="23" borderId="13" xfId="36" applyFont="1" applyFill="1" applyBorder="1"/>
    <xf numFmtId="0" fontId="48" fillId="23" borderId="45" xfId="36" applyFont="1" applyFill="1" applyBorder="1"/>
    <xf numFmtId="0" fontId="48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8" fillId="23" borderId="46" xfId="36" applyFont="1" applyFill="1" applyBorder="1"/>
    <xf numFmtId="0" fontId="48" fillId="22" borderId="13" xfId="36" applyFont="1" applyFill="1" applyBorder="1" applyAlignment="1">
      <alignment horizontal="center"/>
    </xf>
    <xf numFmtId="0" fontId="48" fillId="22" borderId="46" xfId="36" applyFont="1" applyFill="1" applyBorder="1" applyAlignment="1">
      <alignment horizontal="center"/>
    </xf>
    <xf numFmtId="0" fontId="48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9" fillId="0" borderId="97" xfId="40" applyNumberFormat="1" applyFont="1" applyFill="1" applyBorder="1" applyAlignment="1" applyProtection="1">
      <alignment horizontal="center"/>
      <protection locked="0"/>
    </xf>
    <xf numFmtId="0" fontId="32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63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8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30" fillId="0" borderId="102" xfId="0" applyFont="1" applyBorder="1"/>
    <xf numFmtId="0" fontId="29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5" fillId="0" borderId="103" xfId="40" applyNumberFormat="1" applyFont="1" applyFill="1" applyBorder="1" applyAlignment="1" applyProtection="1">
      <alignment horizontal="center"/>
      <protection locked="0"/>
    </xf>
    <xf numFmtId="10" fontId="65" fillId="0" borderId="104" xfId="40" applyNumberFormat="1" applyFont="1" applyFill="1" applyBorder="1" applyAlignment="1" applyProtection="1">
      <alignment horizontal="center"/>
      <protection locked="0"/>
    </xf>
    <xf numFmtId="10" fontId="65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60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9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8" fillId="28" borderId="0" xfId="35" applyNumberFormat="1" applyFont="1" applyFill="1" applyBorder="1" applyAlignment="1" applyProtection="1">
      <alignment horizontal="left"/>
    </xf>
    <xf numFmtId="0" fontId="68" fillId="28" borderId="0" xfId="35" applyFont="1" applyFill="1" applyBorder="1" applyAlignment="1" applyProtection="1">
      <alignment horizontal="left"/>
    </xf>
    <xf numFmtId="0" fontId="68" fillId="29" borderId="0" xfId="35" applyFont="1" applyFill="1" applyBorder="1" applyAlignment="1" applyProtection="1">
      <alignment vertical="top"/>
      <protection locked="0"/>
    </xf>
    <xf numFmtId="0" fontId="69" fillId="28" borderId="0" xfId="35" applyFont="1" applyFill="1" applyBorder="1" applyAlignment="1" applyProtection="1">
      <alignment vertical="top"/>
    </xf>
    <xf numFmtId="0" fontId="68" fillId="28" borderId="0" xfId="35" applyFont="1" applyFill="1" applyBorder="1" applyAlignment="1" applyProtection="1">
      <alignment horizontal="left" vertical="top"/>
    </xf>
    <xf numFmtId="0" fontId="68" fillId="28" borderId="0" xfId="35" applyFont="1" applyFill="1" applyBorder="1" applyAlignment="1" applyProtection="1">
      <alignment vertical="center"/>
    </xf>
    <xf numFmtId="0" fontId="68" fillId="29" borderId="0" xfId="35" applyFont="1" applyFill="1" applyBorder="1" applyAlignment="1" applyProtection="1">
      <alignment vertical="top" wrapText="1"/>
      <protection locked="0"/>
    </xf>
    <xf numFmtId="0" fontId="68" fillId="28" borderId="0" xfId="35" applyFont="1" applyFill="1" applyBorder="1" applyAlignment="1" applyProtection="1">
      <alignment vertical="top" wrapText="1"/>
    </xf>
    <xf numFmtId="0" fontId="68" fillId="28" borderId="0" xfId="35" applyFont="1" applyFill="1" applyBorder="1" applyAlignment="1" applyProtection="1"/>
    <xf numFmtId="0" fontId="68" fillId="28" borderId="0" xfId="35" applyFont="1" applyFill="1" applyBorder="1" applyProtection="1"/>
    <xf numFmtId="0" fontId="68" fillId="28" borderId="0" xfId="35" applyFont="1" applyFill="1" applyBorder="1"/>
    <xf numFmtId="0" fontId="68" fillId="28" borderId="0" xfId="0" applyFont="1" applyFill="1" applyBorder="1"/>
    <xf numFmtId="180" fontId="69" fillId="28" borderId="0" xfId="50" applyNumberFormat="1" applyFont="1" applyFill="1" applyBorder="1" applyAlignment="1" applyProtection="1">
      <alignment vertical="top" shrinkToFit="1"/>
    </xf>
    <xf numFmtId="180" fontId="69" fillId="28" borderId="0" xfId="50" applyNumberFormat="1" applyFont="1" applyFill="1" applyBorder="1" applyAlignment="1" applyProtection="1">
      <alignment horizontal="right" vertical="top" shrinkToFit="1"/>
    </xf>
    <xf numFmtId="10" fontId="69" fillId="28" borderId="0" xfId="39" applyNumberFormat="1" applyFont="1" applyFill="1" applyBorder="1" applyAlignment="1" applyProtection="1">
      <alignment horizontal="right" vertical="top" shrinkToFit="1"/>
    </xf>
    <xf numFmtId="0" fontId="68" fillId="28" borderId="0" xfId="0" applyFont="1" applyFill="1" applyBorder="1" applyProtection="1"/>
    <xf numFmtId="171" fontId="70" fillId="28" borderId="0" xfId="50" applyFont="1" applyFill="1" applyBorder="1" applyAlignment="1" applyProtection="1"/>
    <xf numFmtId="0" fontId="68" fillId="30" borderId="0" xfId="0" applyFont="1" applyFill="1" applyBorder="1" applyAlignment="1">
      <alignment horizontal="center"/>
    </xf>
    <xf numFmtId="4" fontId="68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8" fillId="28" borderId="0" xfId="0" applyFont="1" applyFill="1" applyBorder="1" applyAlignment="1" applyProtection="1">
      <alignment horizontal="center"/>
    </xf>
    <xf numFmtId="0" fontId="69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2" fillId="8" borderId="32" xfId="35" applyFont="1" applyFill="1" applyBorder="1" applyAlignment="1" applyProtection="1">
      <alignment horizontal="center" vertical="center" wrapText="1"/>
    </xf>
    <xf numFmtId="0" fontId="34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1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4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1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9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8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8" fillId="19" borderId="32" xfId="0" applyFont="1" applyFill="1" applyBorder="1" applyAlignment="1" applyProtection="1">
      <alignment horizontal="left" vertical="center"/>
    </xf>
    <xf numFmtId="0" fontId="48" fillId="0" borderId="14" xfId="36" applyFont="1" applyBorder="1" applyAlignment="1">
      <alignment horizontal="left"/>
    </xf>
    <xf numFmtId="0" fontId="48" fillId="0" borderId="0" xfId="36" applyFont="1" applyBorder="1" applyAlignment="1">
      <alignment horizontal="center" wrapText="1"/>
    </xf>
    <xf numFmtId="0" fontId="52" fillId="0" borderId="11" xfId="36" applyFont="1" applyBorder="1" applyAlignment="1">
      <alignment horizontal="left" vertical="top"/>
    </xf>
    <xf numFmtId="0" fontId="48" fillId="0" borderId="32" xfId="36" applyFont="1" applyBorder="1" applyAlignment="1">
      <alignment horizontal="center" wrapText="1"/>
    </xf>
    <xf numFmtId="0" fontId="51" fillId="0" borderId="13" xfId="36" applyFont="1" applyBorder="1" applyAlignment="1">
      <alignment horizontal="center" vertical="center" wrapText="1"/>
    </xf>
    <xf numFmtId="0" fontId="51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8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51" fillId="0" borderId="31" xfId="36" applyFont="1" applyBorder="1" applyAlignment="1">
      <alignment horizontal="center"/>
    </xf>
    <xf numFmtId="0" fontId="62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8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8" fillId="0" borderId="10" xfId="39" applyNumberFormat="1" applyFill="1" applyBorder="1" applyAlignment="1" applyProtection="1">
      <alignment horizontal="center"/>
    </xf>
    <xf numFmtId="10" fontId="58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8" fillId="0" borderId="14" xfId="50" applyNumberFormat="1" applyFill="1" applyBorder="1" applyAlignment="1" applyProtection="1">
      <alignment horizontal="center" shrinkToFit="1"/>
    </xf>
    <xf numFmtId="10" fontId="58" fillId="0" borderId="31" xfId="39" applyNumberFormat="1" applyFill="1" applyBorder="1" applyAlignment="1" applyProtection="1">
      <alignment horizontal="center"/>
    </xf>
    <xf numFmtId="10" fontId="58" fillId="0" borderId="33" xfId="39" applyNumberFormat="1" applyFill="1" applyBorder="1" applyAlignment="1" applyProtection="1">
      <alignment horizontal="center"/>
    </xf>
    <xf numFmtId="10" fontId="58" fillId="0" borderId="0" xfId="39" applyNumberFormat="1" applyFill="1" applyBorder="1" applyAlignment="1" applyProtection="1">
      <alignment horizontal="center"/>
    </xf>
    <xf numFmtId="177" fontId="58" fillId="0" borderId="30" xfId="50" applyNumberFormat="1" applyFill="1" applyBorder="1" applyAlignment="1" applyProtection="1">
      <alignment horizontal="center" shrinkToFit="1"/>
    </xf>
    <xf numFmtId="177" fontId="58" fillId="0" borderId="47" xfId="50" applyNumberFormat="1" applyFill="1" applyBorder="1" applyAlignment="1" applyProtection="1">
      <alignment horizontal="center" shrinkToFit="1"/>
    </xf>
    <xf numFmtId="10" fontId="58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5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3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2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5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2" fillId="6" borderId="33" xfId="0" applyFont="1" applyFill="1" applyBorder="1" applyAlignment="1" applyProtection="1">
      <alignment horizontal="left" vertical="top" wrapText="1"/>
      <protection locked="0"/>
    </xf>
    <xf numFmtId="0" fontId="32" fillId="6" borderId="0" xfId="0" applyFont="1" applyFill="1" applyBorder="1" applyAlignment="1" applyProtection="1">
      <alignment horizontal="left" vertical="top" wrapText="1"/>
      <protection locked="0"/>
    </xf>
    <xf numFmtId="0" fontId="32" fillId="6" borderId="12" xfId="0" applyFont="1" applyFill="1" applyBorder="1" applyAlignment="1" applyProtection="1">
      <alignment horizontal="left" vertical="top" wrapText="1"/>
      <protection locked="0"/>
    </xf>
    <xf numFmtId="0" fontId="32" fillId="6" borderId="47" xfId="0" applyFont="1" applyFill="1" applyBorder="1" applyAlignment="1" applyProtection="1">
      <alignment horizontal="left" vertical="top" wrapText="1"/>
      <protection locked="0"/>
    </xf>
    <xf numFmtId="0" fontId="32" fillId="6" borderId="30" xfId="0" applyFont="1" applyFill="1" applyBorder="1" applyAlignment="1" applyProtection="1">
      <alignment horizontal="left" vertical="top" wrapText="1"/>
      <protection locked="0"/>
    </xf>
    <xf numFmtId="0" fontId="32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9" fillId="30" borderId="0" xfId="0" applyFont="1" applyFill="1" applyBorder="1" applyAlignment="1">
      <alignment horizontal="center" vertical="center" wrapText="1"/>
    </xf>
    <xf numFmtId="49" fontId="68" fillId="29" borderId="0" xfId="35" applyNumberFormat="1" applyFont="1" applyFill="1" applyBorder="1" applyAlignment="1" applyProtection="1">
      <alignment horizontal="left"/>
      <protection locked="0"/>
    </xf>
    <xf numFmtId="168" fontId="68" fillId="28" borderId="0" xfId="35" applyNumberFormat="1" applyFont="1" applyFill="1" applyBorder="1" applyAlignment="1" applyProtection="1">
      <alignment horizontal="right"/>
    </xf>
    <xf numFmtId="0" fontId="68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9" fillId="30" borderId="0" xfId="50" applyFont="1" applyFill="1" applyBorder="1" applyAlignment="1" applyProtection="1">
      <alignment horizontal="center" vertical="center"/>
    </xf>
    <xf numFmtId="0" fontId="68" fillId="28" borderId="0" xfId="35" applyFont="1" applyFill="1" applyBorder="1" applyAlignment="1" applyProtection="1">
      <alignment horizontal="left" vertical="top" wrapText="1"/>
    </xf>
    <xf numFmtId="0" fontId="68" fillId="28" borderId="0" xfId="35" applyFont="1" applyFill="1" applyBorder="1" applyAlignment="1" applyProtection="1">
      <alignment horizontal="center"/>
    </xf>
    <xf numFmtId="0" fontId="68" fillId="28" borderId="0" xfId="35" applyFont="1" applyFill="1" applyBorder="1" applyAlignment="1" applyProtection="1">
      <alignment horizontal="left" wrapText="1"/>
    </xf>
    <xf numFmtId="0" fontId="68" fillId="28" borderId="0" xfId="35" applyNumberFormat="1" applyFont="1" applyFill="1" applyBorder="1" applyAlignment="1" applyProtection="1">
      <alignment vertical="center"/>
    </xf>
    <xf numFmtId="0" fontId="68" fillId="29" borderId="0" xfId="35" applyFont="1" applyFill="1" applyBorder="1" applyAlignment="1" applyProtection="1">
      <alignment horizontal="left" vertical="top"/>
      <protection locked="0"/>
    </xf>
    <xf numFmtId="0" fontId="68" fillId="28" borderId="0" xfId="35" applyFont="1" applyFill="1" applyBorder="1" applyAlignment="1" applyProtection="1">
      <alignment horizontal="left" vertical="top" wrapText="1" shrinkToFit="1"/>
    </xf>
    <xf numFmtId="0" fontId="68" fillId="28" borderId="0" xfId="35" applyNumberFormat="1" applyFont="1" applyFill="1" applyBorder="1" applyAlignment="1" applyProtection="1">
      <alignment horizontal="left" vertical="top" wrapText="1"/>
    </xf>
    <xf numFmtId="0" fontId="68" fillId="28" borderId="0" xfId="35" applyFont="1" applyFill="1" applyBorder="1" applyAlignment="1" applyProtection="1">
      <alignment horizontal="center" vertical="center" wrapText="1"/>
    </xf>
    <xf numFmtId="0" fontId="68" fillId="28" borderId="0" xfId="35" applyFont="1" applyFill="1" applyBorder="1" applyAlignment="1" applyProtection="1">
      <alignment horizontal="right"/>
    </xf>
    <xf numFmtId="180" fontId="69" fillId="28" borderId="0" xfId="50" applyNumberFormat="1" applyFont="1" applyFill="1" applyBorder="1" applyAlignment="1" applyProtection="1">
      <alignment vertical="top" shrinkToFit="1"/>
    </xf>
    <xf numFmtId="0" fontId="68" fillId="28" borderId="0" xfId="35" applyNumberFormat="1" applyFont="1" applyFill="1" applyBorder="1" applyAlignment="1" applyProtection="1">
      <alignment horizontal="left" vertical="top"/>
    </xf>
    <xf numFmtId="0" fontId="68" fillId="28" borderId="0" xfId="0" applyFont="1" applyFill="1" applyBorder="1"/>
    <xf numFmtId="10" fontId="69" fillId="28" borderId="0" xfId="39" applyNumberFormat="1" applyFont="1" applyFill="1" applyBorder="1" applyAlignment="1" applyProtection="1">
      <alignment horizontal="right" vertical="top" shrinkToFit="1"/>
    </xf>
    <xf numFmtId="0" fontId="68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grpSp>
          <xdr:nvGrpSpPr>
            <xdr:cNvPr id="20224" name="TipoOrçamento"/>
            <xdr:cNvGrpSpPr>
              <a:grpSpLocks/>
            </xdr:cNvGrpSpPr>
          </xdr:nvGrpSpPr>
          <xdr:grpSpPr bwMode="auto">
            <a:xfrm>
              <a:off x="581025" y="971550"/>
              <a:ext cx="1219200" cy="485775"/>
              <a:chOff x="523876" y="971550"/>
              <a:chExt cx="1257301" cy="485775"/>
            </a:xfrm>
          </xdr:grpSpPr>
          <xdr:sp macro="" textlink="">
            <xdr:nvSpPr>
              <xdr:cNvPr id="15377" name="Group Box 17" descr="Tipo de Orçamento          " hidden="1">
                <a:extLst>
                  <a:ext uri="{63B3BB69-23CF-44E3-9099-C40C66FF867C}">
                    <a14:compatExt spid="_x0000_s15377"/>
                  </a:ext>
                </a:extLst>
              </xdr:cNvPr>
              <xdr:cNvSpPr/>
            </xdr:nvSpPr>
            <xdr:spPr bwMode="auto">
              <a:xfrm>
                <a:off x="523876" y="971550"/>
                <a:ext cx="1257301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</a:extLst>
              </xdr:cNvPr>
              <xdr:cNvSpPr/>
            </xdr:nvSpPr>
            <xdr:spPr bwMode="auto">
              <a:xfrm>
                <a:off x="647699" y="1133476"/>
                <a:ext cx="98107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grpSp>
          <xdr:nvGrpSpPr>
            <xdr:cNvPr id="20225" name="Acompanhamento"/>
            <xdr:cNvGrpSpPr>
              <a:grpSpLocks/>
            </xdr:cNvGrpSpPr>
          </xdr:nvGrpSpPr>
          <xdr:grpSpPr bwMode="auto">
            <a:xfrm>
              <a:off x="1895475" y="971550"/>
              <a:ext cx="1266825" cy="485775"/>
              <a:chOff x="1790701" y="971550"/>
              <a:chExt cx="1304926" cy="485775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</a:extLst>
              </xdr:cNvPr>
              <xdr:cNvSpPr/>
            </xdr:nvSpPr>
            <xdr:spPr bwMode="auto">
              <a:xfrm>
                <a:off x="1790701" y="971550"/>
                <a:ext cx="1304926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</a:extLst>
              </xdr:cNvPr>
              <xdr:cNvSpPr/>
            </xdr:nvSpPr>
            <xdr:spPr bwMode="auto">
              <a:xfrm>
                <a:off x="1924049" y="1133475"/>
                <a:ext cx="981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zoomScaleNormal="10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437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2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05-2020.xls.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algorithmName="SHA-512" hashValue="PH92lvyDWprnjYoijiOma288szOGNaGrqgKU0mgxTtZNRX7AhCwnn4NzT6yypovH1iky/9bIouztBMu4frFwyg==" saltValue="MGr7RBAi749Kma3pNuqMWQ==" spinCount="100000" sheet="1" objects="1" scenarios="1" autoFilter="0"/>
  <mergeCells count="4">
    <mergeCell ref="B20:H20"/>
    <mergeCell ref="B8:H8"/>
    <mergeCell ref="E2:G3"/>
    <mergeCell ref="B16:H16"/>
  </mergeCells>
  <phoneticPr fontId="40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21" activePane="bottomLeft" state="frozen"/>
      <selection pane="bottomLeft" activeCell="F46" sqref="F46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443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444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437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438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439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ht="38.25" x14ac:dyDescent="0.2">
      <c r="E16" s="32" t="s">
        <v>102</v>
      </c>
      <c r="F16" s="33" t="s">
        <v>502</v>
      </c>
      <c r="J16" s="15" t="s">
        <v>21</v>
      </c>
    </row>
    <row r="17" spans="5:10" ht="25.5" x14ac:dyDescent="0.2">
      <c r="E17" s="25" t="s">
        <v>103</v>
      </c>
      <c r="F17" s="34" t="s">
        <v>501</v>
      </c>
      <c r="J17" s="15" t="s">
        <v>22</v>
      </c>
    </row>
    <row r="18" spans="5:10" x14ac:dyDescent="0.2">
      <c r="E18" s="35" t="s">
        <v>104</v>
      </c>
      <c r="F18" s="36" t="s">
        <v>436</v>
      </c>
      <c r="J18" s="15" t="s">
        <v>23</v>
      </c>
    </row>
    <row r="19" spans="5:10" x14ac:dyDescent="0.2">
      <c r="E19" s="37" t="s">
        <v>105</v>
      </c>
      <c r="F19" s="38">
        <v>43952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445</v>
      </c>
    </row>
    <row r="23" spans="5:10" x14ac:dyDescent="0.2">
      <c r="E23" s="25" t="s">
        <v>108</v>
      </c>
      <c r="F23" s="26" t="s">
        <v>446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44110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447</v>
      </c>
    </row>
    <row r="29" spans="5:10" x14ac:dyDescent="0.2">
      <c r="E29" s="29" t="s">
        <v>112</v>
      </c>
      <c r="F29" s="44" t="s">
        <v>448</v>
      </c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449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>
        <v>44155</v>
      </c>
    </row>
    <row r="47" spans="5:6" x14ac:dyDescent="0.2">
      <c r="E47" s="37" t="s">
        <v>124</v>
      </c>
      <c r="F47" s="49">
        <f ca="1">TODAY()</f>
        <v>44133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algorithmName="SHA-512" hashValue="VfWI/OQq2m2tmE0qiRCOH+1VC0WCDHcasX/RgAPNQsLG7C+YKC7vZI3povwtm3nDaUHbFaZwnpS56hsTzZn/3Q==" saltValue="X9LAs8JvrUKTcHOZLFLFUw==" spinCount="100000"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40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410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413</v>
      </c>
    </row>
    <row r="13" spans="1:4" ht="15" x14ac:dyDescent="0.25">
      <c r="A13" s="60"/>
      <c r="B13" s="61" t="s">
        <v>411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414</v>
      </c>
    </row>
    <row r="15" spans="1:4" ht="15" x14ac:dyDescent="0.2">
      <c r="A15" s="524"/>
      <c r="C15" s="62" t="str">
        <f>IF(D15&lt;&gt;"","▪","")</f>
        <v>▪</v>
      </c>
      <c r="D15" s="39" t="s">
        <v>415</v>
      </c>
    </row>
    <row r="16" spans="1:4" x14ac:dyDescent="0.2">
      <c r="A16" s="529"/>
    </row>
    <row r="17" spans="1:4" ht="18.75" x14ac:dyDescent="0.3">
      <c r="A17" s="614" t="s">
        <v>417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413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426</v>
      </c>
    </row>
    <row r="21" spans="1:4" ht="15" x14ac:dyDescent="0.25">
      <c r="A21" s="524"/>
      <c r="B21" s="61" t="s">
        <v>424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425</v>
      </c>
    </row>
    <row r="23" spans="1:4" ht="15" x14ac:dyDescent="0.25">
      <c r="A23" s="524"/>
      <c r="B23" s="61" t="s">
        <v>418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422</v>
      </c>
    </row>
    <row r="25" spans="1:4" ht="15" x14ac:dyDescent="0.25">
      <c r="A25" s="524"/>
      <c r="B25" s="61" t="s">
        <v>419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421</v>
      </c>
    </row>
    <row r="27" spans="1:4" ht="15" x14ac:dyDescent="0.25">
      <c r="A27" s="524"/>
      <c r="B27" s="61" t="s">
        <v>423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420</v>
      </c>
    </row>
    <row r="29" spans="1:4" x14ac:dyDescent="0.2">
      <c r="A29" s="529"/>
    </row>
    <row r="30" spans="1:4" ht="18.75" x14ac:dyDescent="0.3">
      <c r="A30" s="614" t="s">
        <v>427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426</v>
      </c>
    </row>
    <row r="33" spans="1:5" ht="15" x14ac:dyDescent="0.25">
      <c r="A33" s="60"/>
      <c r="B33" s="61" t="s">
        <v>428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429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430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431</v>
      </c>
    </row>
    <row r="40" spans="1:5" ht="15" x14ac:dyDescent="0.25">
      <c r="A40" s="60"/>
      <c r="B40" s="61" t="s">
        <v>418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432</v>
      </c>
    </row>
    <row r="42" spans="1:5" ht="15" x14ac:dyDescent="0.25">
      <c r="A42" s="60"/>
      <c r="B42" s="61" t="s">
        <v>419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433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434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435</v>
      </c>
    </row>
  </sheetData>
  <sheetProtection algorithmName="SHA-512" hashValue="yTe5Lo54T6KZO2IylgUI/0QSIIDWvQTqaR6dLWlMn62GG5UJGonsjEYOEZ/njdZ/FcskHOHyHoaLG39Bi3QXNw==" saltValue="Y+ixHZl9azmENw9ypmzMTw==" spinCount="100000" sheet="1" objects="1" scenarios="1" autoFilter="0"/>
  <phoneticPr fontId="40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topLeftCell="H1" zoomScale="90" zoomScaleNormal="90" zoomScaleSheetLayoutView="100" workbookViewId="0">
      <pane ySplit="11" topLeftCell="A12" activePane="bottomLeft" state="frozen"/>
      <selection activeCell="E1" sqref="E1"/>
      <selection pane="bottomLeft" activeCell="S23" sqref="S23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64" t="s">
        <v>139</v>
      </c>
      <c r="S1" s="664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65" t="s">
        <v>142</v>
      </c>
      <c r="S2" s="665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66" t="s">
        <v>440</v>
      </c>
      <c r="K4" s="666"/>
      <c r="L4" s="666" t="s">
        <v>441</v>
      </c>
      <c r="M4" s="666"/>
      <c r="N4" s="666" t="s">
        <v>146</v>
      </c>
      <c r="O4" s="666"/>
      <c r="P4" s="666"/>
      <c r="Q4" s="666"/>
      <c r="R4" s="666"/>
      <c r="S4" s="666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63">
        <f>Import.CR</f>
        <v>0</v>
      </c>
      <c r="K5" s="663"/>
      <c r="L5" s="663">
        <f>Import.SICONV</f>
        <v>0</v>
      </c>
      <c r="M5" s="663"/>
      <c r="N5" s="663" t="str">
        <f>Import.Proponente</f>
        <v>MUNICIPIO DE CÉU AZUL</v>
      </c>
      <c r="O5" s="663"/>
      <c r="P5" s="663"/>
      <c r="Q5" s="663"/>
      <c r="R5" s="663"/>
      <c r="S5" s="663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92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92"/>
      <c r="J7" s="666" t="s">
        <v>150</v>
      </c>
      <c r="K7" s="666"/>
      <c r="L7" s="666"/>
      <c r="M7" s="666"/>
      <c r="N7" s="666"/>
      <c r="O7" s="666"/>
      <c r="P7" s="666"/>
      <c r="Q7" s="666"/>
      <c r="R7" s="666"/>
      <c r="S7" s="666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92"/>
      <c r="J8" s="669" t="str">
        <f>Import.Apelido&amp;" / "&amp;Import.DescLote</f>
        <v>CONSTRUÇÃO DE CÓPA E APOIO PARA FUNCIONÁRIOS PÁTIO DE MAQUINAS
 / CONSTRUÇÃO DE CÓPA E APOIO PARA FUNCIONÁRIOS PÁTIO DE MAQUINAS</v>
      </c>
      <c r="K8" s="669"/>
      <c r="L8" s="669"/>
      <c r="M8" s="669"/>
      <c r="N8" s="669"/>
      <c r="O8" s="669"/>
      <c r="P8" s="669"/>
      <c r="Q8" s="669"/>
      <c r="R8" s="669"/>
      <c r="S8" s="669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92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92"/>
      <c r="J10" s="670" t="s">
        <v>152</v>
      </c>
      <c r="K10" s="670"/>
      <c r="L10" s="670"/>
      <c r="M10" s="670"/>
      <c r="N10" s="670"/>
      <c r="O10" s="670"/>
      <c r="P10" s="670"/>
      <c r="Q10" s="670"/>
      <c r="R10" s="668">
        <v>0.04</v>
      </c>
      <c r="S10" s="668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67" t="s">
        <v>153</v>
      </c>
      <c r="K11" s="667"/>
      <c r="L11" s="667"/>
      <c r="M11" s="667"/>
      <c r="N11" s="667"/>
      <c r="O11" s="667"/>
      <c r="P11" s="667"/>
      <c r="Q11" s="667"/>
      <c r="R11" s="668">
        <v>1</v>
      </c>
      <c r="S11" s="668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75" t="s">
        <v>155</v>
      </c>
      <c r="K14" s="675"/>
      <c r="L14" s="675"/>
      <c r="M14" s="675"/>
      <c r="N14" s="675"/>
      <c r="O14" s="675"/>
      <c r="P14" s="675"/>
      <c r="Q14" s="675"/>
      <c r="R14" s="675"/>
      <c r="S14" s="67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66" t="s">
        <v>156</v>
      </c>
      <c r="K16" s="666"/>
      <c r="L16" s="666"/>
      <c r="M16" s="666"/>
      <c r="N16" s="666"/>
      <c r="O16" s="666"/>
      <c r="P16" s="666"/>
      <c r="Q16" s="666"/>
      <c r="R16" s="666"/>
      <c r="S16" s="666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72" t="s">
        <v>140</v>
      </c>
      <c r="K17" s="672"/>
      <c r="L17" s="672"/>
      <c r="M17" s="672"/>
      <c r="N17" s="672"/>
      <c r="O17" s="672"/>
      <c r="P17" s="672"/>
      <c r="Q17" s="672"/>
      <c r="R17" s="672"/>
      <c r="S17" s="672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74" t="s">
        <v>157</v>
      </c>
      <c r="K19" s="674"/>
      <c r="L19" s="674"/>
      <c r="M19" s="674"/>
      <c r="N19" s="674"/>
      <c r="O19" s="674"/>
      <c r="P19" s="674"/>
      <c r="Q19" s="674"/>
      <c r="R19" s="674" t="s">
        <v>158</v>
      </c>
      <c r="S19" s="673" t="s">
        <v>159</v>
      </c>
      <c r="U19" s="673" t="s">
        <v>160</v>
      </c>
      <c r="V19" s="673"/>
      <c r="W19" s="673"/>
      <c r="X19" s="671" t="s">
        <v>161</v>
      </c>
      <c r="Y19" s="671" t="s">
        <v>162</v>
      </c>
      <c r="Z19" s="67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74"/>
      <c r="K20" s="674"/>
      <c r="L20" s="674"/>
      <c r="M20" s="674"/>
      <c r="N20" s="674"/>
      <c r="O20" s="674"/>
      <c r="P20" s="674"/>
      <c r="Q20" s="674"/>
      <c r="R20" s="674"/>
      <c r="S20" s="673"/>
      <c r="U20" s="673"/>
      <c r="V20" s="673"/>
      <c r="W20" s="673"/>
      <c r="X20" s="671"/>
      <c r="Y20" s="671"/>
      <c r="Z20" s="67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6" t="str">
        <f>IF($J$17=$A$146,"Encargos Sociais incidentes sobre a mão de obra","Administração Central")</f>
        <v>Administração Central</v>
      </c>
      <c r="K21" s="676"/>
      <c r="L21" s="676"/>
      <c r="M21" s="676"/>
      <c r="N21" s="676"/>
      <c r="O21" s="676"/>
      <c r="P21" s="676"/>
      <c r="Q21" s="676"/>
      <c r="R21" s="77" t="str">
        <f>IF($J17=$A$146,"K1","AC")</f>
        <v>AC</v>
      </c>
      <c r="S21" s="78">
        <v>0.03</v>
      </c>
      <c r="U21" s="677" t="s">
        <v>165</v>
      </c>
      <c r="V21" s="677"/>
      <c r="W21" s="677"/>
      <c r="X21" s="79">
        <f>VLOOKUP(CONCATENATE(J17,"-",R21),$C$2:$G$136,3,FALSE)</f>
        <v>0.03</v>
      </c>
      <c r="Y21" s="79">
        <f>VLOOKUP(CONCATENATE(J17,"-",R21),$C$2:$G$136,4,FALSE)</f>
        <v>0.04</v>
      </c>
      <c r="Z21" s="79">
        <f>VLOOKUP(CONCATENATE(J17,"-",R21),$C$2:$G$136,5,FALSE)</f>
        <v>5.5E-2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6" t="str">
        <f>IF($J$17=$A$146,"Administração Central da empresa ou consultoria - overhead","Seguro e Garantia")</f>
        <v>Seguro e Garantia</v>
      </c>
      <c r="K22" s="676"/>
      <c r="L22" s="676"/>
      <c r="M22" s="676"/>
      <c r="N22" s="676"/>
      <c r="O22" s="676"/>
      <c r="P22" s="676"/>
      <c r="Q22" s="676"/>
      <c r="R22" s="77" t="str">
        <f>IF($J17=$A$146,"K2","SG")</f>
        <v>SG</v>
      </c>
      <c r="S22" s="78">
        <v>8.0000000000000002E-3</v>
      </c>
      <c r="U22" s="677" t="s">
        <v>165</v>
      </c>
      <c r="V22" s="677"/>
      <c r="W22" s="677"/>
      <c r="X22" s="79">
        <f>VLOOKUP(CONCATENATE(J17,"-",R22),$C$2:$G$136,3,FALSE)</f>
        <v>8.0000000000000002E-3</v>
      </c>
      <c r="Y22" s="79">
        <f>VLOOKUP(CONCATENATE(J17,"-",R22),$C$2:$G$136,4,FALSE)</f>
        <v>8.0000000000000002E-3</v>
      </c>
      <c r="Z22" s="79">
        <f>VLOOKUP(CONCATENATE(J17,"-",R22),$C$2:$G$136,5,FALSE)</f>
        <v>0.01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6" t="str">
        <f>IF($J$17=$A$146,"","Risco")</f>
        <v>Risco</v>
      </c>
      <c r="K23" s="676"/>
      <c r="L23" s="676"/>
      <c r="M23" s="676"/>
      <c r="N23" s="676"/>
      <c r="O23" s="676"/>
      <c r="P23" s="676"/>
      <c r="Q23" s="676"/>
      <c r="R23" s="77" t="str">
        <f>IF($J17=$A$146,"","R")</f>
        <v>R</v>
      </c>
      <c r="S23" s="78">
        <v>1.2699999999999999E-2</v>
      </c>
      <c r="U23" s="677" t="s">
        <v>165</v>
      </c>
      <c r="V23" s="677"/>
      <c r="W23" s="677"/>
      <c r="X23" s="79">
        <f>VLOOKUP(CONCATENATE(J17,"-",R23),$C$2:$G$136,3,FALSE)</f>
        <v>9.7000000000000003E-3</v>
      </c>
      <c r="Y23" s="79">
        <f>VLOOKUP(CONCATENATE(J17,"-",R23),$C$2:$G$136,4,FALSE)</f>
        <v>1.2699999999999999E-2</v>
      </c>
      <c r="Z23" s="79">
        <f>VLOOKUP(CONCATENATE(J17,"-",R23),$C$2:$G$136,5,FALSE)</f>
        <v>1.2699999999999999E-2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6" t="str">
        <f>IF($J$17=$A$146,"","Despesas Financeiras")</f>
        <v>Despesas Financeiras</v>
      </c>
      <c r="K24" s="676"/>
      <c r="L24" s="676"/>
      <c r="M24" s="676"/>
      <c r="N24" s="676"/>
      <c r="O24" s="676"/>
      <c r="P24" s="676"/>
      <c r="Q24" s="676"/>
      <c r="R24" s="77" t="str">
        <f>IF($J17=$A$146,"","DF")</f>
        <v>DF</v>
      </c>
      <c r="S24" s="78">
        <v>0.01</v>
      </c>
      <c r="U24" s="677" t="s">
        <v>165</v>
      </c>
      <c r="V24" s="677"/>
      <c r="W24" s="677"/>
      <c r="X24" s="79">
        <f>VLOOKUP(CONCATENATE(J17,"-",R24),$C$2:$G$136,3,FALSE)</f>
        <v>5.8999999999999999E-3</v>
      </c>
      <c r="Y24" s="79">
        <f>VLOOKUP(CONCATENATE(J17,"-",R24),$C$2:$G$136,4,FALSE)</f>
        <v>1.23E-2</v>
      </c>
      <c r="Z24" s="79">
        <f>VLOOKUP(CONCATENATE(J17,"-",R24),$C$2:$G$136,5,FALSE)</f>
        <v>1.3899999999999999E-2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6" t="str">
        <f>IF($J$17=$A$146,"Margem bruta da empresa de consultoria","Lucro")</f>
        <v>Lucro</v>
      </c>
      <c r="K25" s="676"/>
      <c r="L25" s="676"/>
      <c r="M25" s="676"/>
      <c r="N25" s="676"/>
      <c r="O25" s="676"/>
      <c r="P25" s="676"/>
      <c r="Q25" s="676"/>
      <c r="R25" s="77" t="str">
        <f>IF($J17=$A$146,"K3","L")</f>
        <v>L</v>
      </c>
      <c r="S25" s="78">
        <v>0.06</v>
      </c>
      <c r="U25" s="677" t="s">
        <v>165</v>
      </c>
      <c r="V25" s="677"/>
      <c r="W25" s="677"/>
      <c r="X25" s="79">
        <f>VLOOKUP(CONCATENATE(J17,"-",R25),$C$2:$G$136,3,FALSE)</f>
        <v>6.1600000000000002E-2</v>
      </c>
      <c r="Y25" s="79">
        <f>VLOOKUP(CONCATENATE(J17,"-",R25),$C$2:$G$136,4,FALSE)</f>
        <v>7.400000000000001E-2</v>
      </c>
      <c r="Z25" s="79">
        <f>VLOOKUP(CONCATENATE(J17,"-",R25),$C$2:$G$136,5,FALSE)</f>
        <v>8.9600000000000013E-2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6" t="s">
        <v>167</v>
      </c>
      <c r="K26" s="676"/>
      <c r="L26" s="676"/>
      <c r="M26" s="676"/>
      <c r="N26" s="676"/>
      <c r="O26" s="676"/>
      <c r="P26" s="676"/>
      <c r="Q26" s="676"/>
      <c r="R26" s="77" t="s">
        <v>168</v>
      </c>
      <c r="S26" s="78">
        <v>0.03</v>
      </c>
      <c r="U26" s="677" t="s">
        <v>165</v>
      </c>
      <c r="V26" s="677"/>
      <c r="W26" s="677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6" t="s">
        <v>169</v>
      </c>
      <c r="K27" s="676"/>
      <c r="L27" s="676"/>
      <c r="M27" s="676"/>
      <c r="N27" s="676"/>
      <c r="O27" s="676"/>
      <c r="P27" s="676"/>
      <c r="Q27" s="676"/>
      <c r="R27" s="77" t="s">
        <v>170</v>
      </c>
      <c r="S27" s="79">
        <f ca="1">IF(AND($J17&lt;&gt;$A$145,COUNTA(OFFSET(S20,1,0,6))&gt;0),$R$11*$R$10,0)</f>
        <v>0.04</v>
      </c>
      <c r="U27" s="677" t="s">
        <v>165</v>
      </c>
      <c r="V27" s="677"/>
      <c r="W27" s="677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6" t="s">
        <v>171</v>
      </c>
      <c r="K28" s="676"/>
      <c r="L28" s="676"/>
      <c r="M28" s="676"/>
      <c r="N28" s="676"/>
      <c r="O28" s="676"/>
      <c r="P28" s="676"/>
      <c r="Q28" s="676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7" t="s">
        <v>165</v>
      </c>
      <c r="V28" s="677"/>
      <c r="W28" s="677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6" t="s">
        <v>173</v>
      </c>
      <c r="K29" s="676"/>
      <c r="L29" s="676"/>
      <c r="M29" s="676"/>
      <c r="N29" s="676"/>
      <c r="O29" s="676"/>
      <c r="P29" s="676"/>
      <c r="Q29" s="676"/>
      <c r="R29" s="81" t="s">
        <v>149</v>
      </c>
      <c r="S29" s="79">
        <f ca="1">IF($J17=$A$145,0,ROUND((((1+S21+S22+S23)*(1+S24)*(1+S25)/(1-(S26+S27)))-1),4))</f>
        <v>0.20949999999999999</v>
      </c>
      <c r="U29" s="673" t="str">
        <f ca="1">IF(OR($J$17=$A$146,$J$17=$A$145,AND(S29&gt;=X29,S29&lt;=Z29)),"OK","FORA DO INTERVALO")</f>
        <v>OK</v>
      </c>
      <c r="V29" s="673"/>
      <c r="W29" s="673"/>
      <c r="X29" s="79">
        <f>IF($J17=$A$145,0,VLOOKUP(CONCATENATE($J17,"-",$R29),$C$2:$G$136,3,FALSE))</f>
        <v>0.2034</v>
      </c>
      <c r="Y29" s="79">
        <f>IF($J17=$A$145,0,VLOOKUP(CONCATENATE($J17,"-",$R29),$C$2:$G$136,4,FALSE))</f>
        <v>0.22120000000000001</v>
      </c>
      <c r="Z29" s="79">
        <f>IF($J17=$A$145,0,VLOOKUP(CONCATENATE($J17,"-",$R29),$C$2:$G$136,5,FALSE))</f>
        <v>0.25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80" t="s">
        <v>174</v>
      </c>
      <c r="K30" s="680"/>
      <c r="L30" s="680"/>
      <c r="M30" s="680"/>
      <c r="N30" s="680"/>
      <c r="O30" s="680"/>
      <c r="P30" s="680"/>
      <c r="Q30" s="680"/>
      <c r="R30" s="82" t="s">
        <v>175</v>
      </c>
      <c r="S30" s="83">
        <f ca="1">IF($J17=$A$145,0,ROUND((((1+S21+S22+S23)*(1+S24)*(1+S25)/(1-(S26+S27+S28)))-1),4))</f>
        <v>0.27110000000000001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str">
        <f ca="1">IF(U29&lt;&gt;"ok","X","")</f>
        <v/>
      </c>
      <c r="K32" s="681" t="str">
        <f ca="1">IF(U29&lt;&gt;"ok","Anexo: Relatório Técnico Circunstanciado justificando a adoção do percentual de cada parcela do BDI.","")</f>
        <v/>
      </c>
      <c r="L32" s="681"/>
      <c r="M32" s="681"/>
      <c r="N32" s="681"/>
      <c r="O32" s="681"/>
      <c r="P32" s="681"/>
      <c r="Q32" s="681"/>
      <c r="R32" s="681"/>
      <c r="S32" s="681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82" t="s">
        <v>177</v>
      </c>
      <c r="K34" s="682"/>
      <c r="L34" s="682"/>
      <c r="M34" s="682"/>
      <c r="N34" s="682"/>
      <c r="O34" s="682"/>
      <c r="P34" s="682"/>
      <c r="Q34" s="682"/>
      <c r="R34" s="682"/>
      <c r="S34" s="682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83" t="s">
        <v>178</v>
      </c>
      <c r="N35" s="689" t="str">
        <f>IF($J17=$A$146,"(1+K1+K2)*(1+K3)","(1+AC + S + R + G)*(1 + DF)*(1+L)")</f>
        <v>(1+AC + S + R + G)*(1 + DF)*(1+L)</v>
      </c>
      <c r="O35" s="689"/>
      <c r="P35" s="689"/>
      <c r="Q35" s="69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83"/>
      <c r="N36" s="678" t="s">
        <v>180</v>
      </c>
      <c r="O36" s="678"/>
      <c r="P36" s="678"/>
      <c r="Q36" s="69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4%, com a respectiva alíquota de 100%.</v>
      </c>
      <c r="K38" s="679"/>
      <c r="L38" s="679"/>
      <c r="M38" s="679"/>
      <c r="N38" s="679"/>
      <c r="O38" s="679"/>
      <c r="P38" s="679"/>
      <c r="Q38" s="679"/>
      <c r="R38" s="679"/>
      <c r="S38" s="679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79"/>
      <c r="L40" s="679"/>
      <c r="M40" s="679"/>
      <c r="N40" s="679"/>
      <c r="O40" s="679"/>
      <c r="P40" s="679"/>
      <c r="Q40" s="679"/>
      <c r="R40" s="679"/>
      <c r="S40" s="679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91"/>
      <c r="K43" s="691"/>
      <c r="L43" s="691"/>
      <c r="M43" s="691"/>
      <c r="N43" s="691"/>
      <c r="O43" s="691"/>
      <c r="P43" s="691"/>
      <c r="Q43" s="691"/>
      <c r="R43" s="691"/>
      <c r="S43" s="691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85" t="str">
        <f>Import.Município</f>
        <v>CÉU AZUL</v>
      </c>
      <c r="K45" s="685"/>
      <c r="L45" s="685"/>
      <c r="M45" s="685"/>
      <c r="P45" s="686">
        <f>DADOS!$F$25</f>
        <v>44110</v>
      </c>
      <c r="Q45" s="686"/>
      <c r="R45" s="686"/>
      <c r="S45" s="686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87" t="s">
        <v>187</v>
      </c>
      <c r="K46" s="687"/>
      <c r="L46" s="687"/>
      <c r="M46" s="687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88"/>
      <c r="K48" s="688"/>
      <c r="L48" s="688"/>
      <c r="M48" s="688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84" t="s">
        <v>189</v>
      </c>
      <c r="K49" s="684"/>
      <c r="L49" s="684"/>
      <c r="M49" s="68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ALESSANDRO SANFELIZ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A137617-9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5" t="s">
        <v>190</v>
      </c>
      <c r="K54" s="675"/>
      <c r="L54" s="675"/>
      <c r="M54" s="675"/>
      <c r="N54" s="675"/>
      <c r="O54" s="675"/>
      <c r="P54" s="675"/>
      <c r="Q54" s="675"/>
      <c r="R54" s="675"/>
      <c r="S54" s="67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6" t="s">
        <v>156</v>
      </c>
      <c r="K56" s="666"/>
      <c r="L56" s="666"/>
      <c r="M56" s="666"/>
      <c r="N56" s="666"/>
      <c r="O56" s="666"/>
      <c r="P56" s="666"/>
      <c r="Q56" s="666"/>
      <c r="R56" s="666"/>
      <c r="S56" s="666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2" t="s">
        <v>408</v>
      </c>
      <c r="K57" s="672"/>
      <c r="L57" s="672"/>
      <c r="M57" s="672"/>
      <c r="N57" s="672"/>
      <c r="O57" s="672"/>
      <c r="P57" s="672"/>
      <c r="Q57" s="672"/>
      <c r="R57" s="672"/>
      <c r="S57" s="672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4" t="s">
        <v>157</v>
      </c>
      <c r="K59" s="674"/>
      <c r="L59" s="674"/>
      <c r="M59" s="674"/>
      <c r="N59" s="674"/>
      <c r="O59" s="674"/>
      <c r="P59" s="674"/>
      <c r="Q59" s="674"/>
      <c r="R59" s="674" t="s">
        <v>158</v>
      </c>
      <c r="S59" s="673" t="s">
        <v>159</v>
      </c>
      <c r="U59" s="673" t="s">
        <v>160</v>
      </c>
      <c r="V59" s="673"/>
      <c r="W59" s="673"/>
      <c r="X59" s="671" t="s">
        <v>161</v>
      </c>
      <c r="Y59" s="671" t="s">
        <v>162</v>
      </c>
      <c r="Z59" s="67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4"/>
      <c r="K60" s="674"/>
      <c r="L60" s="674"/>
      <c r="M60" s="674"/>
      <c r="N60" s="674"/>
      <c r="O60" s="674"/>
      <c r="P60" s="674"/>
      <c r="Q60" s="674"/>
      <c r="R60" s="674"/>
      <c r="S60" s="673"/>
      <c r="U60" s="673"/>
      <c r="V60" s="673"/>
      <c r="W60" s="673"/>
      <c r="X60" s="671"/>
      <c r="Y60" s="671"/>
      <c r="Z60" s="67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6" t="str">
        <f>IF($J$17=$A$146,"Encargos Sociais incidentes sobre a mão de obra","Administração Central")</f>
        <v>Administração Central</v>
      </c>
      <c r="K61" s="676"/>
      <c r="L61" s="676"/>
      <c r="M61" s="676"/>
      <c r="N61" s="676"/>
      <c r="O61" s="676"/>
      <c r="P61" s="676"/>
      <c r="Q61" s="676"/>
      <c r="R61" s="77" t="str">
        <f>IF($J57=$A$146,"K1","AC")</f>
        <v>AC</v>
      </c>
      <c r="S61" s="78"/>
      <c r="U61" s="677" t="s">
        <v>165</v>
      </c>
      <c r="V61" s="677"/>
      <c r="W61" s="677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6" t="str">
        <f>IF($J$17=$A$146,"Administração Central da empresa ou consultoria - overhead","Seguro e Garantia")</f>
        <v>Seguro e Garantia</v>
      </c>
      <c r="K62" s="676"/>
      <c r="L62" s="676"/>
      <c r="M62" s="676"/>
      <c r="N62" s="676"/>
      <c r="O62" s="676"/>
      <c r="P62" s="676"/>
      <c r="Q62" s="676"/>
      <c r="R62" s="77" t="str">
        <f>IF($J57=$A$146,"K2","SG")</f>
        <v>SG</v>
      </c>
      <c r="S62" s="78"/>
      <c r="U62" s="677" t="s">
        <v>165</v>
      </c>
      <c r="V62" s="677"/>
      <c r="W62" s="677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6" t="str">
        <f>IF($J$17=$A$146,"","Risco")</f>
        <v>Risco</v>
      </c>
      <c r="K63" s="676"/>
      <c r="L63" s="676"/>
      <c r="M63" s="676"/>
      <c r="N63" s="676"/>
      <c r="O63" s="676"/>
      <c r="P63" s="676"/>
      <c r="Q63" s="676"/>
      <c r="R63" s="77" t="str">
        <f>IF($J57=$A$146,"","R")</f>
        <v>R</v>
      </c>
      <c r="S63" s="78"/>
      <c r="U63" s="677" t="s">
        <v>165</v>
      </c>
      <c r="V63" s="677"/>
      <c r="W63" s="677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6" t="str">
        <f>IF($J$17=$A$146,"","Despesas Financeiras")</f>
        <v>Despesas Financeiras</v>
      </c>
      <c r="K64" s="676"/>
      <c r="L64" s="676"/>
      <c r="M64" s="676"/>
      <c r="N64" s="676"/>
      <c r="O64" s="676"/>
      <c r="P64" s="676"/>
      <c r="Q64" s="676"/>
      <c r="R64" s="77" t="str">
        <f>IF($J57=$A$146,"","DF")</f>
        <v>DF</v>
      </c>
      <c r="S64" s="78"/>
      <c r="U64" s="677" t="s">
        <v>165</v>
      </c>
      <c r="V64" s="677"/>
      <c r="W64" s="677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6" t="str">
        <f>IF($J$17=$A$146,"Margem bruta da empresa de consultoria","Lucro")</f>
        <v>Lucro</v>
      </c>
      <c r="K65" s="676"/>
      <c r="L65" s="676"/>
      <c r="M65" s="676"/>
      <c r="N65" s="676"/>
      <c r="O65" s="676"/>
      <c r="P65" s="676"/>
      <c r="Q65" s="676"/>
      <c r="R65" s="77" t="str">
        <f>IF($J57=$A$146,"K3","L")</f>
        <v>L</v>
      </c>
      <c r="S65" s="78"/>
      <c r="U65" s="677" t="s">
        <v>165</v>
      </c>
      <c r="V65" s="677"/>
      <c r="W65" s="677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6" t="s">
        <v>167</v>
      </c>
      <c r="K66" s="676"/>
      <c r="L66" s="676"/>
      <c r="M66" s="676"/>
      <c r="N66" s="676"/>
      <c r="O66" s="676"/>
      <c r="P66" s="676"/>
      <c r="Q66" s="676"/>
      <c r="R66" s="77" t="s">
        <v>168</v>
      </c>
      <c r="S66" s="78"/>
      <c r="U66" s="677" t="s">
        <v>165</v>
      </c>
      <c r="V66" s="677"/>
      <c r="W66" s="677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6" t="s">
        <v>169</v>
      </c>
      <c r="K67" s="676"/>
      <c r="L67" s="676"/>
      <c r="M67" s="676"/>
      <c r="N67" s="676"/>
      <c r="O67" s="676"/>
      <c r="P67" s="676"/>
      <c r="Q67" s="676"/>
      <c r="R67" s="77" t="s">
        <v>170</v>
      </c>
      <c r="S67" s="79">
        <f ca="1">IF(AND($J57&lt;&gt;$A$145,COUNTA(OFFSET(S60,1,0,6))&gt;0),$R$11*$R$10,0)</f>
        <v>0</v>
      </c>
      <c r="U67" s="677" t="s">
        <v>165</v>
      </c>
      <c r="V67" s="677"/>
      <c r="W67" s="677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6" t="s">
        <v>171</v>
      </c>
      <c r="K68" s="676"/>
      <c r="L68" s="676"/>
      <c r="M68" s="676"/>
      <c r="N68" s="676"/>
      <c r="O68" s="676"/>
      <c r="P68" s="676"/>
      <c r="Q68" s="676"/>
      <c r="R68" s="77" t="s">
        <v>172</v>
      </c>
      <c r="S68" s="79">
        <f ca="1">IF(BDI.Opcao&lt;&gt;"Desonerado",0,IF(AND($J57&lt;&gt;$A$145,COUNTA(OFFSET(S60,1,0,6))&gt;0),4.5%,0%))</f>
        <v>0</v>
      </c>
      <c r="U68" s="677" t="s">
        <v>165</v>
      </c>
      <c r="V68" s="677"/>
      <c r="W68" s="677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6" t="s">
        <v>173</v>
      </c>
      <c r="K69" s="676"/>
      <c r="L69" s="676"/>
      <c r="M69" s="676"/>
      <c r="N69" s="676"/>
      <c r="O69" s="676"/>
      <c r="P69" s="676"/>
      <c r="Q69" s="676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80" t="s">
        <v>174</v>
      </c>
      <c r="K70" s="680"/>
      <c r="L70" s="680"/>
      <c r="M70" s="680"/>
      <c r="N70" s="680"/>
      <c r="O70" s="680"/>
      <c r="P70" s="680"/>
      <c r="Q70" s="680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81" t="e">
        <f ca="1">IF(U69&lt;&gt;"ok","Anexo: Relatório Técnico Circunstanciado justificando a adoção do percentual de cada parcela do BDI.","")</f>
        <v>#N/A</v>
      </c>
      <c r="L72" s="681"/>
      <c r="M72" s="681"/>
      <c r="N72" s="681"/>
      <c r="O72" s="681"/>
      <c r="P72" s="681"/>
      <c r="Q72" s="681"/>
      <c r="R72" s="681"/>
      <c r="S72" s="681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2" t="s">
        <v>177</v>
      </c>
      <c r="K74" s="682"/>
      <c r="L74" s="682"/>
      <c r="M74" s="682"/>
      <c r="N74" s="682"/>
      <c r="O74" s="682"/>
      <c r="P74" s="682"/>
      <c r="Q74" s="682"/>
      <c r="R74" s="682"/>
      <c r="S74" s="682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83" t="s">
        <v>178</v>
      </c>
      <c r="N75" s="689" t="str">
        <f>IF($J57=$A$146,"(1+K1+K2)*(1+K3)","(1+AC + S + R + G)*(1 + DF)*(1+L)")</f>
        <v>(1+AC + S + R + G)*(1 + DF)*(1+L)</v>
      </c>
      <c r="O75" s="689"/>
      <c r="P75" s="689"/>
      <c r="Q75" s="69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83"/>
      <c r="N76" s="678" t="s">
        <v>180</v>
      </c>
      <c r="O76" s="678"/>
      <c r="P76" s="678"/>
      <c r="Q76" s="69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4%, com a respectiva alíquota de 100%.</v>
      </c>
      <c r="K78" s="679"/>
      <c r="L78" s="679"/>
      <c r="M78" s="679"/>
      <c r="N78" s="679"/>
      <c r="O78" s="679"/>
      <c r="P78" s="679"/>
      <c r="Q78" s="679"/>
      <c r="R78" s="679"/>
      <c r="S78" s="679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79"/>
      <c r="L80" s="679"/>
      <c r="M80" s="679"/>
      <c r="N80" s="679"/>
      <c r="O80" s="679"/>
      <c r="P80" s="679"/>
      <c r="Q80" s="679"/>
      <c r="R80" s="679"/>
      <c r="S80" s="679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1"/>
      <c r="K83" s="691"/>
      <c r="L83" s="691"/>
      <c r="M83" s="691"/>
      <c r="N83" s="691"/>
      <c r="O83" s="691"/>
      <c r="P83" s="691"/>
      <c r="Q83" s="691"/>
      <c r="R83" s="691"/>
      <c r="S83" s="691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5" t="str">
        <f>Import.Município</f>
        <v>CÉU AZUL</v>
      </c>
      <c r="K85" s="685"/>
      <c r="L85" s="685"/>
      <c r="M85" s="685"/>
      <c r="P85" s="686">
        <f>DADOS!$F$25</f>
        <v>44110</v>
      </c>
      <c r="Q85" s="686"/>
      <c r="R85" s="686"/>
      <c r="S85" s="686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7" t="s">
        <v>187</v>
      </c>
      <c r="K86" s="687"/>
      <c r="L86" s="687"/>
      <c r="M86" s="687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8"/>
      <c r="K88" s="688"/>
      <c r="L88" s="688"/>
      <c r="M88" s="688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4" t="s">
        <v>189</v>
      </c>
      <c r="K89" s="684"/>
      <c r="L89" s="684"/>
      <c r="M89" s="68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ALESSANDRO SANFELIZ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A137617-9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5" t="s">
        <v>191</v>
      </c>
      <c r="K94" s="675"/>
      <c r="L94" s="675"/>
      <c r="M94" s="675"/>
      <c r="N94" s="675"/>
      <c r="O94" s="675"/>
      <c r="P94" s="675"/>
      <c r="Q94" s="675"/>
      <c r="R94" s="675"/>
      <c r="S94" s="67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6" t="s">
        <v>156</v>
      </c>
      <c r="K96" s="666"/>
      <c r="L96" s="666"/>
      <c r="M96" s="666"/>
      <c r="N96" s="666"/>
      <c r="O96" s="666"/>
      <c r="P96" s="666"/>
      <c r="Q96" s="666"/>
      <c r="R96" s="666"/>
      <c r="S96" s="666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2" t="s">
        <v>408</v>
      </c>
      <c r="K97" s="672"/>
      <c r="L97" s="672"/>
      <c r="M97" s="672"/>
      <c r="N97" s="672"/>
      <c r="O97" s="672"/>
      <c r="P97" s="672"/>
      <c r="Q97" s="672"/>
      <c r="R97" s="672"/>
      <c r="S97" s="672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4" t="s">
        <v>157</v>
      </c>
      <c r="K99" s="674"/>
      <c r="L99" s="674"/>
      <c r="M99" s="674"/>
      <c r="N99" s="674"/>
      <c r="O99" s="674"/>
      <c r="P99" s="674"/>
      <c r="Q99" s="674"/>
      <c r="R99" s="674" t="s">
        <v>158</v>
      </c>
      <c r="S99" s="673" t="s">
        <v>159</v>
      </c>
      <c r="U99" s="673" t="s">
        <v>160</v>
      </c>
      <c r="V99" s="673"/>
      <c r="W99" s="673"/>
      <c r="X99" s="671" t="s">
        <v>161</v>
      </c>
      <c r="Y99" s="671" t="s">
        <v>162</v>
      </c>
      <c r="Z99" s="67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4"/>
      <c r="K100" s="674"/>
      <c r="L100" s="674"/>
      <c r="M100" s="674"/>
      <c r="N100" s="674"/>
      <c r="O100" s="674"/>
      <c r="P100" s="674"/>
      <c r="Q100" s="674"/>
      <c r="R100" s="674"/>
      <c r="S100" s="673"/>
      <c r="U100" s="673"/>
      <c r="V100" s="673"/>
      <c r="W100" s="673"/>
      <c r="X100" s="671"/>
      <c r="Y100" s="671"/>
      <c r="Z100" s="67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6" t="str">
        <f>IF($J$17=$A$146,"Encargos Sociais incidentes sobre a mão de obra","Administração Central")</f>
        <v>Administração Central</v>
      </c>
      <c r="K101" s="676"/>
      <c r="L101" s="676"/>
      <c r="M101" s="676"/>
      <c r="N101" s="676"/>
      <c r="O101" s="676"/>
      <c r="P101" s="676"/>
      <c r="Q101" s="676"/>
      <c r="R101" s="77" t="str">
        <f>IF($J97=$A$146,"K1","AC")</f>
        <v>AC</v>
      </c>
      <c r="S101" s="78"/>
      <c r="U101" s="677" t="s">
        <v>165</v>
      </c>
      <c r="V101" s="677"/>
      <c r="W101" s="677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6" t="str">
        <f>IF($J$17=$A$146,"Administração Central da empresa ou consultoria - overhead","Seguro e Garantia")</f>
        <v>Seguro e Garantia</v>
      </c>
      <c r="K102" s="676"/>
      <c r="L102" s="676"/>
      <c r="M102" s="676"/>
      <c r="N102" s="676"/>
      <c r="O102" s="676"/>
      <c r="P102" s="676"/>
      <c r="Q102" s="676"/>
      <c r="R102" s="77" t="str">
        <f>IF($J97=$A$146,"K2","SG")</f>
        <v>SG</v>
      </c>
      <c r="S102" s="78"/>
      <c r="U102" s="677" t="s">
        <v>165</v>
      </c>
      <c r="V102" s="677"/>
      <c r="W102" s="677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6" t="str">
        <f>IF($J$17=$A$146,"","Risco")</f>
        <v>Risco</v>
      </c>
      <c r="K103" s="676"/>
      <c r="L103" s="676"/>
      <c r="M103" s="676"/>
      <c r="N103" s="676"/>
      <c r="O103" s="676"/>
      <c r="P103" s="676"/>
      <c r="Q103" s="676"/>
      <c r="R103" s="77" t="str">
        <f>IF($J97=$A$146,"","R")</f>
        <v>R</v>
      </c>
      <c r="S103" s="78"/>
      <c r="U103" s="677" t="s">
        <v>165</v>
      </c>
      <c r="V103" s="677"/>
      <c r="W103" s="677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6" t="str">
        <f>IF($J$17=$A$146,"","Despesas Financeiras")</f>
        <v>Despesas Financeiras</v>
      </c>
      <c r="K104" s="676"/>
      <c r="L104" s="676"/>
      <c r="M104" s="676"/>
      <c r="N104" s="676"/>
      <c r="O104" s="676"/>
      <c r="P104" s="676"/>
      <c r="Q104" s="676"/>
      <c r="R104" s="77" t="str">
        <f>IF($J97=$A$146,"","DF")</f>
        <v>DF</v>
      </c>
      <c r="S104" s="78"/>
      <c r="U104" s="677" t="s">
        <v>165</v>
      </c>
      <c r="V104" s="677"/>
      <c r="W104" s="677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6" t="str">
        <f>IF($J$17=$A$146,"Margem bruta da empresa de consultoria","Lucro")</f>
        <v>Lucro</v>
      </c>
      <c r="K105" s="676"/>
      <c r="L105" s="676"/>
      <c r="M105" s="676"/>
      <c r="N105" s="676"/>
      <c r="O105" s="676"/>
      <c r="P105" s="676"/>
      <c r="Q105" s="676"/>
      <c r="R105" s="77" t="str">
        <f>IF($J97=$A$146,"K3","L")</f>
        <v>L</v>
      </c>
      <c r="S105" s="78"/>
      <c r="U105" s="677" t="s">
        <v>165</v>
      </c>
      <c r="V105" s="677"/>
      <c r="W105" s="677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6" t="s">
        <v>167</v>
      </c>
      <c r="K106" s="676"/>
      <c r="L106" s="676"/>
      <c r="M106" s="676"/>
      <c r="N106" s="676"/>
      <c r="O106" s="676"/>
      <c r="P106" s="676"/>
      <c r="Q106" s="676"/>
      <c r="R106" s="77" t="s">
        <v>168</v>
      </c>
      <c r="S106" s="78"/>
      <c r="U106" s="677" t="s">
        <v>165</v>
      </c>
      <c r="V106" s="677"/>
      <c r="W106" s="677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6" t="s">
        <v>169</v>
      </c>
      <c r="K107" s="676"/>
      <c r="L107" s="676"/>
      <c r="M107" s="676"/>
      <c r="N107" s="676"/>
      <c r="O107" s="676"/>
      <c r="P107" s="676"/>
      <c r="Q107" s="676"/>
      <c r="R107" s="77" t="s">
        <v>170</v>
      </c>
      <c r="S107" s="79">
        <f ca="1">IF(AND($J97&lt;&gt;$A$145,COUNTA(OFFSET(S100,1,0,6))&gt;0),$R$11*$R$10,0)</f>
        <v>0</v>
      </c>
      <c r="U107" s="677" t="s">
        <v>165</v>
      </c>
      <c r="V107" s="677"/>
      <c r="W107" s="677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6" t="s">
        <v>171</v>
      </c>
      <c r="K108" s="676"/>
      <c r="L108" s="676"/>
      <c r="M108" s="676"/>
      <c r="N108" s="676"/>
      <c r="O108" s="676"/>
      <c r="P108" s="676"/>
      <c r="Q108" s="676"/>
      <c r="R108" s="77" t="s">
        <v>172</v>
      </c>
      <c r="S108" s="79">
        <f ca="1">IF(BDI.Opcao&lt;&gt;"Desonerado",0,IF(AND($J97&lt;&gt;$A$145,COUNTA(OFFSET(S100,1,0,6))&gt;0),4.5%,0%))</f>
        <v>0</v>
      </c>
      <c r="U108" s="677" t="s">
        <v>165</v>
      </c>
      <c r="V108" s="677"/>
      <c r="W108" s="677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6" t="s">
        <v>173</v>
      </c>
      <c r="K109" s="676"/>
      <c r="L109" s="676"/>
      <c r="M109" s="676"/>
      <c r="N109" s="676"/>
      <c r="O109" s="676"/>
      <c r="P109" s="676"/>
      <c r="Q109" s="676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80" t="s">
        <v>174</v>
      </c>
      <c r="K110" s="680"/>
      <c r="L110" s="680"/>
      <c r="M110" s="680"/>
      <c r="N110" s="680"/>
      <c r="O110" s="680"/>
      <c r="P110" s="680"/>
      <c r="Q110" s="680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81" t="e">
        <f ca="1">IF(U109&lt;&gt;"ok","Anexo: Relatório Técnico Circunstanciado justificando a adoção do percentual de cada parcela do BDI.","")</f>
        <v>#N/A</v>
      </c>
      <c r="L112" s="681"/>
      <c r="M112" s="681"/>
      <c r="N112" s="681"/>
      <c r="O112" s="681"/>
      <c r="P112" s="681"/>
      <c r="Q112" s="681"/>
      <c r="R112" s="681"/>
      <c r="S112" s="681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2" t="s">
        <v>177</v>
      </c>
      <c r="K114" s="682"/>
      <c r="L114" s="682"/>
      <c r="M114" s="682"/>
      <c r="N114" s="682"/>
      <c r="O114" s="682"/>
      <c r="P114" s="682"/>
      <c r="Q114" s="682"/>
      <c r="R114" s="682"/>
      <c r="S114" s="682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83" t="s">
        <v>178</v>
      </c>
      <c r="N115" s="689" t="str">
        <f>IF($J97=$A$146,"(1+K1+K2)*(1+K3)","(1+AC + S + R + G)*(1 + DF)*(1+L)")</f>
        <v>(1+AC + S + R + G)*(1 + DF)*(1+L)</v>
      </c>
      <c r="O115" s="689"/>
      <c r="P115" s="689"/>
      <c r="Q115" s="69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83"/>
      <c r="N116" s="678" t="s">
        <v>180</v>
      </c>
      <c r="O116" s="678"/>
      <c r="P116" s="678"/>
      <c r="Q116" s="69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4%, com a respectiva alíquota de 100%.</v>
      </c>
      <c r="K118" s="679"/>
      <c r="L118" s="679"/>
      <c r="M118" s="679"/>
      <c r="N118" s="679"/>
      <c r="O118" s="679"/>
      <c r="P118" s="679"/>
      <c r="Q118" s="679"/>
      <c r="R118" s="679"/>
      <c r="S118" s="679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79"/>
      <c r="L120" s="679"/>
      <c r="M120" s="679"/>
      <c r="N120" s="679"/>
      <c r="O120" s="679"/>
      <c r="P120" s="679"/>
      <c r="Q120" s="679"/>
      <c r="R120" s="679"/>
      <c r="S120" s="679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1"/>
      <c r="K123" s="691"/>
      <c r="L123" s="691"/>
      <c r="M123" s="691"/>
      <c r="N123" s="691"/>
      <c r="O123" s="691"/>
      <c r="P123" s="691"/>
      <c r="Q123" s="691"/>
      <c r="R123" s="691"/>
      <c r="S123" s="691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5" t="str">
        <f>Import.Município</f>
        <v>CÉU AZUL</v>
      </c>
      <c r="K125" s="685"/>
      <c r="L125" s="685"/>
      <c r="M125" s="685"/>
      <c r="P125" s="686">
        <f>DADOS!$F$25</f>
        <v>44110</v>
      </c>
      <c r="Q125" s="686"/>
      <c r="R125" s="686"/>
      <c r="S125" s="686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7" t="s">
        <v>187</v>
      </c>
      <c r="K126" s="687"/>
      <c r="L126" s="687"/>
      <c r="M126" s="687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8"/>
      <c r="K128" s="688"/>
      <c r="L128" s="688"/>
      <c r="M128" s="688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4" t="s">
        <v>189</v>
      </c>
      <c r="K129" s="684"/>
      <c r="L129" s="684"/>
      <c r="M129" s="68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ALESSANDRO SANFELIZ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A137617-9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408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algorithmName="SHA-512" hashValue="DZCh8heB4fsLTm2COLPxIyBoKFuW2Z5vW8Aw6eSikiataYVNGPEL12ehC/Gjg6BuCkFUMmriN1OREkb2sek6yA==" saltValue="Gxbbflf7wrlicYjoFsoOUQ==" spinCount="100000"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40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U39" sqref="U39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OGU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66" t="s">
        <v>440</v>
      </c>
      <c r="P4" s="666"/>
      <c r="Q4" s="112" t="s">
        <v>441</v>
      </c>
      <c r="R4" s="112" t="s">
        <v>146</v>
      </c>
      <c r="S4" s="666" t="s">
        <v>201</v>
      </c>
      <c r="T4" s="666"/>
      <c r="U4" s="666"/>
      <c r="V4" s="666"/>
      <c r="W4" s="666"/>
      <c r="X4" s="666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0.27110000000000001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63">
        <f>Import.CR</f>
        <v>0</v>
      </c>
      <c r="P5" s="663"/>
      <c r="Q5" s="118">
        <f>Import.SICONV</f>
        <v>0</v>
      </c>
      <c r="R5" s="119" t="str">
        <f>Import.Proponente</f>
        <v>MUNICIPIO DE CÉU AZUL</v>
      </c>
      <c r="S5" s="663" t="str">
        <f>Import.Apelido</f>
        <v xml:space="preserve">CONSTRUÇÃO DE CÓPA E APOIO PARA FUNCIONÁRIOS PÁTIO DE MAQUINAS
</v>
      </c>
      <c r="T5" s="663"/>
      <c r="U5" s="663"/>
      <c r="V5" s="663"/>
      <c r="W5" s="663"/>
      <c r="X5" s="663"/>
      <c r="Y5" s="120"/>
      <c r="Z5" s="120"/>
      <c r="AA5" s="120"/>
      <c r="AB5" s="120"/>
      <c r="AC5" s="105"/>
      <c r="AE5" s="702" t="s">
        <v>199</v>
      </c>
      <c r="AF5" s="702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66" t="s">
        <v>203</v>
      </c>
      <c r="P7" s="666"/>
      <c r="Q7" s="112" t="s">
        <v>204</v>
      </c>
      <c r="R7" s="112" t="str">
        <f>IF(TIPOORCAMENTO="Licitado","NOME DA EMPRESA","DESCRIÇÃO DO LOTE")</f>
        <v>DESCRIÇÃO DO LOTE</v>
      </c>
      <c r="S7" s="703" t="str">
        <f>IF(TIPOORCAMENTO="Licitado","REGIME DE EXECUÇÃO","MUNICÍPIO / UF")</f>
        <v>MUNICÍPIO / UF</v>
      </c>
      <c r="T7" s="703"/>
      <c r="U7" s="703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706" t="s">
        <v>206</v>
      </c>
      <c r="AL7" s="704" t="s">
        <v>207</v>
      </c>
    </row>
    <row r="8" spans="1:40" ht="12.75" customHeight="1" x14ac:dyDescent="0.2">
      <c r="A8" s="115"/>
      <c r="B8" s="115"/>
      <c r="C8" s="115"/>
      <c r="D8" s="105"/>
      <c r="F8" s="700" t="str">
        <f ca="1">IF(LEN(INFO("release"))&gt;5,"'Referência "&amp;Excel_BuiltIn_Database&amp;".xls'#Banco.$a5:$a$65536","'[Referência "&amp;Excel_BuiltIn_Database&amp;".xls]Banco'!$a5:$a$65536")</f>
        <v>'[Referência 05-2020.xls]Banco'!$a5:$a$65536</v>
      </c>
      <c r="G8" s="700"/>
      <c r="H8" s="700"/>
      <c r="I8" s="700"/>
      <c r="J8" s="700"/>
      <c r="K8" s="700"/>
      <c r="L8" s="692" t="s">
        <v>208</v>
      </c>
      <c r="M8" s="105"/>
      <c r="N8" s="105"/>
      <c r="O8" s="663" t="str">
        <f ca="1">IF(ISERROR(INDIRECT($F$9)),"(N/D: 'Referência "&amp;Excel_BuiltIn_Database&amp;".xls)",INDIRECT($F$9))</f>
        <v>CURITIBA</v>
      </c>
      <c r="P8" s="663"/>
      <c r="Q8" s="129" t="str">
        <f ca="1">TEXT(Import.DataBase,"mm-aa")&amp;IF(DESONERACAO="Sim"," (DES.)"," (N DES.)")</f>
        <v>05-20 (DES.)</v>
      </c>
      <c r="R8" s="119" t="str">
        <f>IF(TIPOORCAMENTO="Licitado",Import.empresa,Import.DescLote)</f>
        <v>CONSTRUÇÃO DE CÓPA E APOIO PARA FUNCIONÁRIOS PÁTIO DE MAQUINAS</v>
      </c>
      <c r="S8" s="701" t="str">
        <f>IF(TIPOORCAMENTO="Licitado",Import.RegimeExecução,Import.Município)</f>
        <v>CÉU AZUL</v>
      </c>
      <c r="T8" s="701"/>
      <c r="U8" s="701"/>
      <c r="V8" s="130" t="str">
        <f ca="1">IF(TIPOORCAMENTO="Licitado","",TEXT(F5,"0,00%"))</f>
        <v>27,11%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92" t="s">
        <v>209</v>
      </c>
      <c r="Z8" s="692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706"/>
      <c r="AL8" s="704"/>
      <c r="AN8" s="105"/>
    </row>
    <row r="9" spans="1:40" ht="12.75" customHeight="1" x14ac:dyDescent="0.2">
      <c r="A9" s="105"/>
      <c r="B9" s="105"/>
      <c r="C9" s="105"/>
      <c r="D9" s="105"/>
      <c r="F9" s="700" t="str">
        <f ca="1">IF(LEN(INFO("release"))&gt;5,"'Referência "&amp;Excel_BuiltIn_Database&amp;".xls'#Banco.$d$3","'[Referência "&amp;Excel_BuiltIn_Database&amp;".xls]Banco'!$d$3")</f>
        <v>'[Referência 05-2020.xls]Banco'!$d$3</v>
      </c>
      <c r="G9" s="700"/>
      <c r="H9" s="700"/>
      <c r="I9" s="700"/>
      <c r="J9" s="700"/>
      <c r="K9" s="700"/>
      <c r="L9" s="692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92"/>
      <c r="Z9" s="692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706"/>
      <c r="AL9" s="704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92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92"/>
      <c r="Z10" s="692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706"/>
      <c r="AL10" s="704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92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92"/>
      <c r="Z11" s="692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706"/>
      <c r="AL11" s="704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92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92"/>
      <c r="Z12" s="692"/>
      <c r="AA12" s="705" t="s">
        <v>215</v>
      </c>
      <c r="AB12" s="705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
(%)")</f>
        <v>BDI
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416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412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0.27110000000000001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694" t="str">
        <f>Import.DescLote</f>
        <v>CONSTRUÇÃO DE CÓPA E APOIO PARA FUNCIONÁRIOS PÁTIO DE MAQUINAS</v>
      </c>
      <c r="P15" s="694"/>
      <c r="Q15" s="694"/>
      <c r="R15" s="694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137954.57999999996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137954.57999999996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137954.57999999996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IF($C16="S",REFERENCIA.Descricao,"OBRA")</f>
        <v>OBRA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137954.57999999999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137954.57999999996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0.27110000000000001</v>
      </c>
      <c r="AJ16" s="553"/>
      <c r="AL16" s="574"/>
      <c r="AM16" s="431">
        <f t="shared" ca="1" si="0"/>
        <v>137954.57999999999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7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7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tr">
        <f ca="1">IF($C17="S",REFERENCIA.Descricao,"SERVIÇOS PRELIMINARES")</f>
        <v>SERVIÇOS PRELIMINARES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951.81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951.81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0.27110000000000001</v>
      </c>
      <c r="AJ17" s="553"/>
      <c r="AL17" s="574"/>
      <c r="AM17" s="431">
        <f t="shared" ca="1" si="0"/>
        <v>951.81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451</v>
      </c>
      <c r="Q18" s="149" t="s">
        <v>450</v>
      </c>
      <c r="R18" s="150" t="str">
        <f t="shared" ref="R18:R79" ca="1" si="24">IF($C18="S",REFERENCIA.Descricao,"(digite a descrição aqui)")</f>
        <v>PLACA DE OBRA (PARA CONSTRUCAO CIVIL) EM CHAPA GALVANIZADA *N. 22*, ADESIVADA, DE *2,0 X 1,125* M</v>
      </c>
      <c r="S18" s="151" t="str">
        <f t="shared" ca="1" si="13"/>
        <v xml:space="preserve">M2    </v>
      </c>
      <c r="T18" s="152">
        <f ca="1">OFFSET(CÁLCULO!H$15,ROW($T18)-ROW(T$15),0)</f>
        <v>2.88</v>
      </c>
      <c r="U18" s="153">
        <v>260</v>
      </c>
      <c r="V18" s="154" t="s">
        <v>155</v>
      </c>
      <c r="W18" s="152">
        <f t="shared" ca="1" si="14"/>
        <v>330.49</v>
      </c>
      <c r="X18" s="155">
        <f t="shared" ca="1" si="15"/>
        <v>951.81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951.81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>
        <f t="shared" ca="1" si="20"/>
        <v>10045</v>
      </c>
      <c r="AG18" s="550">
        <f t="shared" ca="1" si="21"/>
        <v>280</v>
      </c>
      <c r="AH18" s="551">
        <f t="shared" ca="1" si="22"/>
        <v>0.27110000000000001</v>
      </c>
      <c r="AJ18" s="553">
        <v>2.88</v>
      </c>
      <c r="AL18" s="574"/>
      <c r="AM18" s="431">
        <f t="shared" ca="1" si="0"/>
        <v>951.81</v>
      </c>
      <c r="AN18" s="617">
        <f t="shared" ca="1" si="23"/>
        <v>330.49</v>
      </c>
    </row>
    <row r="19" spans="1:40" hidden="1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1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/>
      </c>
      <c r="M19" s="145" t="s">
        <v>198</v>
      </c>
      <c r="N19" s="146" t="str">
        <f t="shared" ca="1" si="11"/>
        <v>Serviço</v>
      </c>
      <c r="O19" s="147" t="str">
        <f t="shared" ca="1" si="12"/>
        <v>-</v>
      </c>
      <c r="P19" s="148" t="s">
        <v>246</v>
      </c>
      <c r="Q19" s="149"/>
      <c r="R19" s="150" t="str">
        <f t="shared" ca="1" si="24"/>
        <v>(Sem Código)</v>
      </c>
      <c r="S19" s="151" t="str">
        <f t="shared" ca="1" si="13"/>
        <v>-</v>
      </c>
      <c r="T19" s="152">
        <f ca="1">OFFSET(CÁLCULO!H$15,ROW($T19)-ROW(T$15),0)</f>
        <v>0</v>
      </c>
      <c r="U19" s="153"/>
      <c r="V19" s="154" t="s">
        <v>155</v>
      </c>
      <c r="W19" s="152">
        <f t="shared" ca="1" si="14"/>
        <v>0</v>
      </c>
      <c r="X19" s="155">
        <f t="shared" ca="1" si="15"/>
        <v>0</v>
      </c>
      <c r="Y19" s="156" t="s">
        <v>244</v>
      </c>
      <c r="Z19" t="str">
        <f t="shared" ca="1" si="16"/>
        <v/>
      </c>
      <c r="AA19" s="157">
        <f ca="1">IF($C19="S",IF($Z19="CP",$X19,IF($Z19="RA",(($X19)*QCI!$AA$3),0)),SomaAgrup)</f>
        <v>0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b">
        <f t="shared" ca="1" si="19"/>
        <v>0</v>
      </c>
      <c r="AF19" s="160" t="str">
        <f t="shared" ca="1" si="20"/>
        <v>(Sem Código)</v>
      </c>
      <c r="AG19" s="550">
        <f t="shared" ca="1" si="21"/>
        <v>0</v>
      </c>
      <c r="AH19" s="551">
        <f t="shared" ca="1" si="22"/>
        <v>0.27110000000000001</v>
      </c>
      <c r="AJ19" s="553"/>
      <c r="AL19" s="574"/>
      <c r="AM19" s="431">
        <f t="shared" ca="1" si="0"/>
        <v>0</v>
      </c>
      <c r="AN19" s="617">
        <f t="shared" ca="1" si="23"/>
        <v>0</v>
      </c>
    </row>
    <row r="20" spans="1:40" hidden="1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1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/>
      </c>
      <c r="M20" s="145" t="s">
        <v>198</v>
      </c>
      <c r="N20" s="146" t="str">
        <f t="shared" ca="1" si="11"/>
        <v>Serviço</v>
      </c>
      <c r="O20" s="147" t="str">
        <f t="shared" ca="1" si="12"/>
        <v>-</v>
      </c>
      <c r="P20" s="148" t="s">
        <v>246</v>
      </c>
      <c r="Q20" s="149"/>
      <c r="R20" s="150" t="str">
        <f t="shared" ca="1" si="24"/>
        <v>(Sem Código)</v>
      </c>
      <c r="S20" s="151" t="str">
        <f t="shared" ca="1" si="13"/>
        <v>-</v>
      </c>
      <c r="T20" s="152">
        <f ca="1">OFFSET(CÁLCULO!H$15,ROW($T20)-ROW(T$15),0)</f>
        <v>0</v>
      </c>
      <c r="U20" s="153"/>
      <c r="V20" s="154" t="s">
        <v>155</v>
      </c>
      <c r="W20" s="152">
        <f t="shared" ca="1" si="14"/>
        <v>0</v>
      </c>
      <c r="X20" s="155">
        <f t="shared" ca="1" si="15"/>
        <v>0</v>
      </c>
      <c r="Y20" s="156" t="s">
        <v>244</v>
      </c>
      <c r="Z20" t="str">
        <f t="shared" ca="1" si="16"/>
        <v/>
      </c>
      <c r="AA20" s="157">
        <f ca="1">IF($C20="S",IF($Z20="CP",$X20,IF($Z20="RA",(($X20)*QCI!$AA$3),0)),SomaAgrup)</f>
        <v>0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b">
        <f t="shared" ca="1" si="19"/>
        <v>0</v>
      </c>
      <c r="AF20" s="160" t="str">
        <f t="shared" ca="1" si="20"/>
        <v>(Sem Código)</v>
      </c>
      <c r="AG20" s="550">
        <f t="shared" ca="1" si="21"/>
        <v>0</v>
      </c>
      <c r="AH20" s="551">
        <f t="shared" ca="1" si="22"/>
        <v>0.27110000000000001</v>
      </c>
      <c r="AJ20" s="553"/>
      <c r="AL20" s="574"/>
      <c r="AM20" s="431">
        <f t="shared" ca="1" si="0"/>
        <v>0</v>
      </c>
      <c r="AN20" s="617">
        <f t="shared" ca="1" si="23"/>
        <v>0</v>
      </c>
    </row>
    <row r="21" spans="1:40" hidden="1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1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/>
      </c>
      <c r="M21" s="145" t="s">
        <v>198</v>
      </c>
      <c r="N21" s="146" t="str">
        <f t="shared" ca="1" si="11"/>
        <v>Serviço</v>
      </c>
      <c r="O21" s="147" t="str">
        <f t="shared" ca="1" si="12"/>
        <v>-</v>
      </c>
      <c r="P21" s="148" t="s">
        <v>246</v>
      </c>
      <c r="Q21" s="149"/>
      <c r="R21" s="150" t="str">
        <f t="shared" ca="1" si="24"/>
        <v>(Sem Código)</v>
      </c>
      <c r="S21" s="151" t="str">
        <f t="shared" ca="1" si="13"/>
        <v>-</v>
      </c>
      <c r="T21" s="152">
        <f ca="1">OFFSET(CÁLCULO!H$15,ROW($T21)-ROW(T$15),0)</f>
        <v>0</v>
      </c>
      <c r="U21" s="153"/>
      <c r="V21" s="154" t="s">
        <v>155</v>
      </c>
      <c r="W21" s="152">
        <f t="shared" ca="1" si="14"/>
        <v>0</v>
      </c>
      <c r="X21" s="155">
        <f t="shared" ca="1" si="15"/>
        <v>0</v>
      </c>
      <c r="Y21" s="156" t="s">
        <v>244</v>
      </c>
      <c r="Z21" t="str">
        <f t="shared" ca="1" si="16"/>
        <v/>
      </c>
      <c r="AA21" s="157">
        <f ca="1">IF($C21="S",IF($Z21="CP",$X21,IF($Z21="RA",(($X21)*QCI!$AA$3),0)),SomaAgrup)</f>
        <v>0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b">
        <f t="shared" ca="1" si="19"/>
        <v>0</v>
      </c>
      <c r="AF21" s="160" t="str">
        <f t="shared" ca="1" si="20"/>
        <v>(Sem Código)</v>
      </c>
      <c r="AG21" s="550">
        <f t="shared" ca="1" si="21"/>
        <v>0</v>
      </c>
      <c r="AH21" s="551">
        <f t="shared" ca="1" si="22"/>
        <v>0.27110000000000001</v>
      </c>
      <c r="AJ21" s="553"/>
      <c r="AL21" s="574"/>
      <c r="AM21" s="431">
        <f t="shared" ca="1" si="0"/>
        <v>0</v>
      </c>
      <c r="AN21" s="617">
        <f t="shared" ca="1" si="23"/>
        <v>0</v>
      </c>
    </row>
    <row r="22" spans="1:40" hidden="1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1</v>
      </c>
      <c r="J22">
        <f t="shared" ca="1" si="9"/>
        <v>0</v>
      </c>
      <c r="K22">
        <f ca="1">IF(OR($C22="S",$C22=0),0,MATCH(OFFSET($D22,0,$C22)+IF($C22&lt;&gt;1,1,COUNTIF(QCI!$A$13:$A$24,ORÇAMENTO!E22)),OFFSET($D22,1,$C22,ROW($C$266)-ROW($C22)),0))</f>
        <v>0</v>
      </c>
      <c r="L22" s="144" t="str">
        <f t="shared" ca="1" si="10"/>
        <v/>
      </c>
      <c r="M22" s="145" t="s">
        <v>198</v>
      </c>
      <c r="N22" s="146" t="str">
        <f t="shared" ca="1" si="11"/>
        <v>Serviço</v>
      </c>
      <c r="O22" s="147" t="str">
        <f t="shared" ca="1" si="12"/>
        <v>-</v>
      </c>
      <c r="P22" s="148" t="s">
        <v>246</v>
      </c>
      <c r="Q22" s="149"/>
      <c r="R22" s="150" t="str">
        <f ca="1">IF($C22="S",REFERENCIA.Descricao,"(digite a descrição aqui)")</f>
        <v>(Sem Código)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0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0</v>
      </c>
      <c r="AB22" s="158">
        <f t="shared" ca="1" si="17"/>
        <v>0</v>
      </c>
      <c r="AC22" s="159" t="str">
        <f t="shared" ca="1" si="18"/>
        <v/>
      </c>
      <c r="AD22" s="105" t="str">
        <f ca="1">IF(C22&lt;=CRONO.NivelExibicao,MAX($AD$15:OFFSET(AD22,-1,0))+IF($C22&lt;&gt;1,1,MAX(1,COUNTIF(QCI!$A$13:$A$24,OFFSET($E22,-1,0)))),"")</f>
        <v/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0.27110000000000001</v>
      </c>
      <c r="AJ22" s="553"/>
      <c r="AL22" s="574"/>
      <c r="AM22" s="431">
        <f t="shared" ca="1" si="0"/>
        <v>0</v>
      </c>
      <c r="AN22" s="617">
        <f t="shared" ca="1" si="23"/>
        <v>0</v>
      </c>
    </row>
    <row r="23" spans="1:40" hidden="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1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/>
      </c>
      <c r="M23" s="145" t="s">
        <v>198</v>
      </c>
      <c r="N23" s="146" t="str">
        <f t="shared" ca="1" si="11"/>
        <v>Serviço</v>
      </c>
      <c r="O23" s="147" t="str">
        <f t="shared" ca="1" si="12"/>
        <v>-</v>
      </c>
      <c r="P23" s="148" t="s">
        <v>246</v>
      </c>
      <c r="Q23" s="149"/>
      <c r="R23" s="150" t="str">
        <f t="shared" ca="1" si="24"/>
        <v>(Sem Código)</v>
      </c>
      <c r="S23" s="151" t="str">
        <f t="shared" ca="1" si="13"/>
        <v>-</v>
      </c>
      <c r="T23" s="152">
        <f ca="1">OFFSET(CÁLCULO!H$15,ROW($T23)-ROW(T$15),0)</f>
        <v>0</v>
      </c>
      <c r="U23" s="153"/>
      <c r="V23" s="154" t="s">
        <v>155</v>
      </c>
      <c r="W23" s="152">
        <f t="shared" ca="1" si="14"/>
        <v>0</v>
      </c>
      <c r="X23" s="155">
        <f t="shared" ca="1" si="15"/>
        <v>0</v>
      </c>
      <c r="Y23" s="156" t="s">
        <v>244</v>
      </c>
      <c r="Z23" t="str">
        <f t="shared" ca="1" si="16"/>
        <v/>
      </c>
      <c r="AA23" s="157">
        <f ca="1">IF($C23="S",IF($Z23="CP",$X23,IF($Z23="RA",(($X23)*QCI!$AA$3),0)),SomaAgrup)</f>
        <v>0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b">
        <f t="shared" ca="1" si="19"/>
        <v>0</v>
      </c>
      <c r="AF23" s="160" t="str">
        <f t="shared" ca="1" si="20"/>
        <v>(Sem Código)</v>
      </c>
      <c r="AG23" s="550">
        <f t="shared" ca="1" si="21"/>
        <v>0</v>
      </c>
      <c r="AH23" s="551">
        <f t="shared" ca="1" si="22"/>
        <v>0.27110000000000001</v>
      </c>
      <c r="AJ23" s="553"/>
      <c r="AL23" s="574"/>
      <c r="AM23" s="431">
        <f t="shared" ca="1" si="0"/>
        <v>0</v>
      </c>
      <c r="AN23" s="617">
        <f t="shared" ca="1" si="23"/>
        <v>0</v>
      </c>
    </row>
    <row r="24" spans="1:40" x14ac:dyDescent="0.2">
      <c r="A24">
        <f t="shared" si="1"/>
        <v>2</v>
      </c>
      <c r="B24">
        <f t="shared" ca="1" si="2"/>
        <v>2</v>
      </c>
      <c r="C24">
        <f t="shared" ca="1" si="3"/>
        <v>2</v>
      </c>
      <c r="D24">
        <f t="shared" ca="1" si="4"/>
        <v>14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0</v>
      </c>
      <c r="J24">
        <f t="shared" ca="1" si="9"/>
        <v>242</v>
      </c>
      <c r="K24">
        <f ca="1">IF(OR($C24="S",$C24=0),0,MATCH(OFFSET($D24,0,$C24)+IF($C24&lt;&gt;1,1,COUNTIF(QCI!$A$13:$A$24,ORÇAMENTO!E24)),OFFSET($D24,1,$C24,ROW($C$266)-ROW($C24)),0))</f>
        <v>14</v>
      </c>
      <c r="L24" s="144" t="str">
        <f t="shared" ca="1" si="10"/>
        <v>F</v>
      </c>
      <c r="M24" s="145" t="s">
        <v>195</v>
      </c>
      <c r="N24" s="146" t="str">
        <f t="shared" ca="1" si="11"/>
        <v>Nível 2</v>
      </c>
      <c r="O24" s="147" t="str">
        <f t="shared" ca="1" si="12"/>
        <v>1.2.</v>
      </c>
      <c r="P24" s="148" t="s">
        <v>246</v>
      </c>
      <c r="Q24" s="149"/>
      <c r="R24" s="150" t="str">
        <f ca="1">IF($C24="S",REFERENCIA.Descricao,"FUNDAÇÃO E ESTRUTURA")</f>
        <v>FUNDAÇÃO E ESTRUTURA</v>
      </c>
      <c r="S24" s="151" t="str">
        <f t="shared" ca="1" si="13"/>
        <v>-</v>
      </c>
      <c r="T24" s="152">
        <f ca="1">OFFSET(CÁLCULO!H$15,ROW($T24)-ROW(T$15),0)</f>
        <v>0</v>
      </c>
      <c r="U24" s="153"/>
      <c r="V24" s="154" t="s">
        <v>155</v>
      </c>
      <c r="W24" s="152">
        <f t="shared" ca="1" si="14"/>
        <v>0</v>
      </c>
      <c r="X24" s="155">
        <f t="shared" ca="1" si="15"/>
        <v>27692.71</v>
      </c>
      <c r="Y24" s="156" t="s">
        <v>244</v>
      </c>
      <c r="Z24" t="str">
        <f t="shared" ca="1" si="16"/>
        <v/>
      </c>
      <c r="AA24" s="157">
        <f ca="1">IF($C24="S",IF($Z24="CP",$X24,IF($Z24="RA",(($X24)*QCI!$AA$3),0)),SomaAgrup)</f>
        <v>27692.71</v>
      </c>
      <c r="AB24" s="158">
        <f t="shared" ca="1" si="17"/>
        <v>0</v>
      </c>
      <c r="AC24" s="159" t="str">
        <f t="shared" ca="1" si="18"/>
        <v/>
      </c>
      <c r="AD24" s="105">
        <f ca="1">IF(C24&lt;=CRONO.NivelExibicao,MAX($AD$15:OFFSET(AD24,-1,0))+IF($C24&lt;&gt;1,1,MAX(1,COUNTIF(QCI!$A$13:$A$24,OFFSET($E24,-1,0)))),"")</f>
        <v>3</v>
      </c>
      <c r="AE24" s="115" t="b">
        <f t="shared" ca="1" si="19"/>
        <v>0</v>
      </c>
      <c r="AF24" s="160" t="str">
        <f t="shared" ca="1" si="20"/>
        <v>(Sem Código)</v>
      </c>
      <c r="AG24" s="550">
        <f t="shared" ca="1" si="21"/>
        <v>0</v>
      </c>
      <c r="AH24" s="551">
        <f t="shared" ca="1" si="22"/>
        <v>0.27110000000000001</v>
      </c>
      <c r="AJ24" s="553"/>
      <c r="AL24" s="574"/>
      <c r="AM24" s="431">
        <f t="shared" ca="1" si="0"/>
        <v>27692.71</v>
      </c>
      <c r="AN24" s="617">
        <f t="shared" ca="1" si="23"/>
        <v>0</v>
      </c>
    </row>
    <row r="25" spans="1:40" ht="25.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1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1.2.1.</v>
      </c>
      <c r="P25" s="148" t="s">
        <v>246</v>
      </c>
      <c r="Q25" s="149" t="s">
        <v>452</v>
      </c>
      <c r="R25" s="150" t="str">
        <f t="shared" ca="1" si="24"/>
        <v>CONCRETO FCK = 25MPA, TRAÇO 1:2,3:2,7 (CIMENTO/ AREIA MÉDIA/ BRITA 1)  - PREPARO MECÂNICO COM BETONEIRA 600 L. AF_07/2016</v>
      </c>
      <c r="S25" s="151" t="str">
        <f t="shared" ca="1" si="13"/>
        <v>M3</v>
      </c>
      <c r="T25" s="152">
        <f ca="1">OFFSET(CÁLCULO!H$15,ROW($T25)-ROW(T$15),0)</f>
        <v>12.04</v>
      </c>
      <c r="U25" s="153">
        <v>280.33999999999997</v>
      </c>
      <c r="V25" s="154" t="s">
        <v>155</v>
      </c>
      <c r="W25" s="152">
        <f t="shared" ca="1" si="14"/>
        <v>356.34</v>
      </c>
      <c r="X25" s="155">
        <f t="shared" ca="1" si="15"/>
        <v>4290.33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4290.33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SINAPI 94971</v>
      </c>
      <c r="AF25" s="160">
        <f t="shared" ca="1" si="20"/>
        <v>2283</v>
      </c>
      <c r="AG25" s="550">
        <f t="shared" ca="1" si="21"/>
        <v>289.33999999999997</v>
      </c>
      <c r="AH25" s="551">
        <f t="shared" ca="1" si="22"/>
        <v>0.27110000000000001</v>
      </c>
      <c r="AJ25" s="553">
        <v>12.04</v>
      </c>
      <c r="AL25" s="574"/>
      <c r="AM25" s="431">
        <f t="shared" ca="1" si="0"/>
        <v>4290.33</v>
      </c>
      <c r="AN25" s="617">
        <f t="shared" ca="1" si="23"/>
        <v>356.34</v>
      </c>
    </row>
    <row r="26" spans="1:40" ht="38.2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2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1.2.2.</v>
      </c>
      <c r="P26" s="148" t="s">
        <v>246</v>
      </c>
      <c r="Q26" s="149" t="s">
        <v>453</v>
      </c>
      <c r="R26" s="150" t="str">
        <f t="shared" ca="1" si="24"/>
        <v>ARMAÇÃO DE ESTRUTURAS DE CONCRETO ARMADO, EXCETO VIGAS, PILARES, LAJES E FUNDAÇÕES, UTILIZANDO AÇO CA-50 DE 10,0 MM - MONTAGEM. AF_12/2015</v>
      </c>
      <c r="S26" s="151" t="str">
        <f t="shared" ca="1" si="13"/>
        <v>KG</v>
      </c>
      <c r="T26" s="152">
        <f ca="1">OFFSET(CÁLCULO!H$15,ROW($T26)-ROW(T$15),0)</f>
        <v>975</v>
      </c>
      <c r="U26" s="153">
        <v>7</v>
      </c>
      <c r="V26" s="154" t="s">
        <v>155</v>
      </c>
      <c r="W26" s="152">
        <f t="shared" ca="1" si="14"/>
        <v>8.9</v>
      </c>
      <c r="X26" s="155">
        <f t="shared" ca="1" si="15"/>
        <v>8677.5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8677.5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SINAPI 92919</v>
      </c>
      <c r="AF26" s="160">
        <f t="shared" ca="1" si="20"/>
        <v>2186</v>
      </c>
      <c r="AG26" s="550">
        <f t="shared" ca="1" si="21"/>
        <v>7.86</v>
      </c>
      <c r="AH26" s="551">
        <f t="shared" ca="1" si="22"/>
        <v>0.27110000000000001</v>
      </c>
      <c r="AJ26" s="553">
        <v>975</v>
      </c>
      <c r="AL26" s="574"/>
      <c r="AM26" s="431">
        <f t="shared" ca="1" si="0"/>
        <v>8677.5</v>
      </c>
      <c r="AN26" s="617">
        <f t="shared" ca="1" si="23"/>
        <v>8.9</v>
      </c>
    </row>
    <row r="27" spans="1:40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3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1.2.3.</v>
      </c>
      <c r="P27" s="148" t="s">
        <v>451</v>
      </c>
      <c r="Q27" s="149" t="s">
        <v>488</v>
      </c>
      <c r="R27" s="150" t="str">
        <f t="shared" ca="1" si="24"/>
        <v>ACO CA-50, 6,3 MM, DOBRADO E CORTADO</v>
      </c>
      <c r="S27" s="151" t="str">
        <f t="shared" ca="1" si="13"/>
        <v xml:space="preserve">KG    </v>
      </c>
      <c r="T27" s="152">
        <f ca="1">OFFSET(CÁLCULO!H$15,ROW($T27)-ROW(T$15),0)</f>
        <v>1095.8</v>
      </c>
      <c r="U27" s="153">
        <v>5.67</v>
      </c>
      <c r="V27" s="154" t="s">
        <v>155</v>
      </c>
      <c r="W27" s="152">
        <f t="shared" ca="1" si="14"/>
        <v>7.21</v>
      </c>
      <c r="X27" s="155">
        <f t="shared" ca="1" si="15"/>
        <v>7900.72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7900.72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SINAPI-I 34449</v>
      </c>
      <c r="AF27" s="160">
        <f t="shared" ca="1" si="20"/>
        <v>6449</v>
      </c>
      <c r="AG27" s="550">
        <f t="shared" ca="1" si="21"/>
        <v>5.67</v>
      </c>
      <c r="AH27" s="551">
        <f t="shared" ca="1" si="22"/>
        <v>0.27110000000000001</v>
      </c>
      <c r="AJ27" s="553">
        <v>1095.8</v>
      </c>
      <c r="AL27" s="574"/>
      <c r="AM27" s="431">
        <f t="shared" ca="1" si="0"/>
        <v>7900.72</v>
      </c>
      <c r="AN27" s="617">
        <f t="shared" ca="1" si="23"/>
        <v>7.21</v>
      </c>
    </row>
    <row r="28" spans="1:40" ht="25.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4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>F</v>
      </c>
      <c r="M28" s="145" t="s">
        <v>198</v>
      </c>
      <c r="N28" s="146" t="str">
        <f t="shared" ca="1" si="11"/>
        <v>Serviço</v>
      </c>
      <c r="O28" s="147" t="str">
        <f t="shared" ca="1" si="12"/>
        <v>1.2.4.</v>
      </c>
      <c r="P28" s="148" t="s">
        <v>451</v>
      </c>
      <c r="Q28" s="149" t="s">
        <v>454</v>
      </c>
      <c r="R28" s="150" t="str">
        <f t="shared" ca="1" si="24"/>
        <v>TABUA DE MADEIRA NAO APARELHADA *2,5 X 30* CM, CEDRINHO OU EQUIVALENTE DA REGIAO</v>
      </c>
      <c r="S28" s="151" t="str">
        <f t="shared" ca="1" si="13"/>
        <v xml:space="preserve">M     </v>
      </c>
      <c r="T28" s="152">
        <f ca="1">OFFSET(CÁLCULO!H$15,ROW($T28)-ROW(T$15),0)</f>
        <v>160</v>
      </c>
      <c r="U28" s="153">
        <v>10</v>
      </c>
      <c r="V28" s="154" t="s">
        <v>155</v>
      </c>
      <c r="W28" s="152">
        <f t="shared" ca="1" si="14"/>
        <v>12.71</v>
      </c>
      <c r="X28" s="155">
        <f t="shared" ca="1" si="15"/>
        <v>2033.6</v>
      </c>
      <c r="Y28" s="156" t="s">
        <v>244</v>
      </c>
      <c r="Z28" t="str">
        <f t="shared" ca="1" si="16"/>
        <v>RA</v>
      </c>
      <c r="AA28" s="157">
        <f ca="1">IF($C28="S",IF($Z28="CP",$X28,IF($Z28="RA",(($X28)*QCI!$AA$3),0)),SomaAgrup)</f>
        <v>2033.6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str">
        <f t="shared" ca="1" si="19"/>
        <v>SINAPI-I 6189</v>
      </c>
      <c r="AF28" s="160">
        <f t="shared" ca="1" si="20"/>
        <v>10561</v>
      </c>
      <c r="AG28" s="550">
        <f t="shared" ca="1" si="21"/>
        <v>12.26</v>
      </c>
      <c r="AH28" s="551">
        <f t="shared" ca="1" si="22"/>
        <v>0.27110000000000001</v>
      </c>
      <c r="AJ28" s="553">
        <v>160</v>
      </c>
      <c r="AL28" s="574"/>
      <c r="AM28" s="431">
        <f t="shared" ca="1" si="0"/>
        <v>2033.6</v>
      </c>
      <c r="AN28" s="617">
        <f t="shared" ca="1" si="23"/>
        <v>12.71</v>
      </c>
    </row>
    <row r="29" spans="1:40" ht="25.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5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1.2.5.</v>
      </c>
      <c r="P29" s="148" t="s">
        <v>246</v>
      </c>
      <c r="Q29" s="149" t="s">
        <v>489</v>
      </c>
      <c r="R29" s="150" t="str">
        <f t="shared" ca="1" si="24"/>
        <v>ESCAVAÇÃO MANUAL PARA BLOCO DE COROAMENTO OU SAPATA, SEM PREVISÃO DE FÔRMA. AF_06/2017</v>
      </c>
      <c r="S29" s="151" t="str">
        <f t="shared" ca="1" si="13"/>
        <v>M3</v>
      </c>
      <c r="T29" s="152">
        <f ca="1">OFFSET(CÁLCULO!H$15,ROW($T29)-ROW(T$15),0)</f>
        <v>4.41</v>
      </c>
      <c r="U29" s="153">
        <v>124.34</v>
      </c>
      <c r="V29" s="154" t="s">
        <v>155</v>
      </c>
      <c r="W29" s="152">
        <f t="shared" ca="1" si="14"/>
        <v>158.05000000000001</v>
      </c>
      <c r="X29" s="155">
        <f t="shared" ca="1" si="15"/>
        <v>697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697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 96522</v>
      </c>
      <c r="AF29" s="160">
        <f t="shared" ca="1" si="20"/>
        <v>4698</v>
      </c>
      <c r="AG29" s="550">
        <f t="shared" ca="1" si="21"/>
        <v>124.34</v>
      </c>
      <c r="AH29" s="551">
        <f t="shared" ca="1" si="22"/>
        <v>0.27110000000000001</v>
      </c>
      <c r="AJ29" s="553">
        <v>4.41</v>
      </c>
      <c r="AL29" s="574"/>
      <c r="AM29" s="431">
        <f t="shared" ca="1" si="0"/>
        <v>697</v>
      </c>
      <c r="AN29" s="617">
        <f t="shared" ca="1" si="23"/>
        <v>158.05000000000001</v>
      </c>
    </row>
    <row r="30" spans="1:40" ht="25.5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6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>F</v>
      </c>
      <c r="M30" s="145" t="s">
        <v>198</v>
      </c>
      <c r="N30" s="146" t="str">
        <f t="shared" ca="1" si="11"/>
        <v>Serviço</v>
      </c>
      <c r="O30" s="147" t="str">
        <f t="shared" ca="1" si="12"/>
        <v>1.2.6.</v>
      </c>
      <c r="P30" s="148" t="s">
        <v>246</v>
      </c>
      <c r="Q30" s="149" t="s">
        <v>455</v>
      </c>
      <c r="R30" s="150" t="str">
        <f t="shared" ca="1" si="24"/>
        <v>IMPERMEABILIZAÇÃO DE SUPERFÍCIE COM EMULSÃO ASFÁLTICA, 2 DEMÃOS AF_06/2018</v>
      </c>
      <c r="S30" s="151" t="str">
        <f t="shared" ca="1" si="13"/>
        <v>M2</v>
      </c>
      <c r="T30" s="152">
        <f ca="1">OFFSET(CÁLCULO!H$15,ROW($T30)-ROW(T$15),0)</f>
        <v>126.11</v>
      </c>
      <c r="U30" s="153">
        <v>9</v>
      </c>
      <c r="V30" s="154" t="s">
        <v>155</v>
      </c>
      <c r="W30" s="152">
        <f t="shared" ca="1" si="14"/>
        <v>11.44</v>
      </c>
      <c r="X30" s="155">
        <f t="shared" ca="1" si="15"/>
        <v>1442.7</v>
      </c>
      <c r="Y30" s="156" t="s">
        <v>244</v>
      </c>
      <c r="Z30" t="str">
        <f t="shared" ca="1" si="16"/>
        <v>RA</v>
      </c>
      <c r="AA30" s="157">
        <f ca="1">IF($C30="S",IF($Z30="CP",$X30,IF($Z30="RA",(($X30)*QCI!$AA$3),0)),SomaAgrup)</f>
        <v>1442.7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str">
        <f t="shared" ca="1" si="19"/>
        <v>SINAPI 98557</v>
      </c>
      <c r="AF30" s="160">
        <f t="shared" ca="1" si="20"/>
        <v>2401</v>
      </c>
      <c r="AG30" s="550">
        <f t="shared" ca="1" si="21"/>
        <v>25.67</v>
      </c>
      <c r="AH30" s="551">
        <f t="shared" ca="1" si="22"/>
        <v>0.27110000000000001</v>
      </c>
      <c r="AJ30" s="553">
        <v>126.11</v>
      </c>
      <c r="AL30" s="574"/>
      <c r="AM30" s="431">
        <f t="shared" ca="1" si="0"/>
        <v>1442.7</v>
      </c>
      <c r="AN30" s="617">
        <f t="shared" ca="1" si="23"/>
        <v>11.44</v>
      </c>
    </row>
    <row r="31" spans="1:40" ht="38.2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7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1.2.7.</v>
      </c>
      <c r="P31" s="148" t="s">
        <v>246</v>
      </c>
      <c r="Q31" s="149" t="s">
        <v>456</v>
      </c>
      <c r="R31" s="150" t="str">
        <f t="shared" ca="1" si="24"/>
        <v>ALVENARIA DE EMBASAMENTO COM BLOCO ESTRUTURAL DE CERÂMICA, DE 14X19X29CM E ARGAMASSA DE ASSENTAMENTO COM PREPARO EM BETONEIRA. AF_05/2020</v>
      </c>
      <c r="S31" s="151" t="str">
        <f t="shared" ca="1" si="13"/>
        <v>M3</v>
      </c>
      <c r="T31" s="152">
        <f ca="1">OFFSET(CÁLCULO!H$15,ROW($T31)-ROW(T$15),0)</f>
        <v>4.8499999999999996</v>
      </c>
      <c r="U31" s="153">
        <v>430</v>
      </c>
      <c r="V31" s="154" t="s">
        <v>155</v>
      </c>
      <c r="W31" s="152">
        <f t="shared" ca="1" si="14"/>
        <v>546.57000000000005</v>
      </c>
      <c r="X31" s="155">
        <f t="shared" ca="1" si="15"/>
        <v>2650.86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2650.86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SINAPI 101166</v>
      </c>
      <c r="AF31" s="160">
        <f t="shared" ca="1" si="20"/>
        <v>2309</v>
      </c>
      <c r="AG31" s="550">
        <f t="shared" ca="1" si="21"/>
        <v>445.19</v>
      </c>
      <c r="AH31" s="551">
        <f t="shared" ca="1" si="22"/>
        <v>0.27110000000000001</v>
      </c>
      <c r="AJ31" s="553">
        <v>4.8499999999999996</v>
      </c>
      <c r="AL31" s="574"/>
      <c r="AM31" s="431">
        <f t="shared" ca="1" si="0"/>
        <v>2650.86</v>
      </c>
      <c r="AN31" s="617">
        <f t="shared" ca="1" si="23"/>
        <v>546.57000000000005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2</v>
      </c>
      <c r="G32">
        <f t="shared" ca="1" si="6"/>
        <v>0</v>
      </c>
      <c r="H32">
        <f t="shared" ca="1" si="7"/>
        <v>0</v>
      </c>
      <c r="I32">
        <f t="shared" ca="1" si="8"/>
        <v>7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ca="1">IF($C32="S",REFERENCIA.Descricao,"(digite a descrição aqui)")</f>
        <v>(Sem Código)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(Sem Código)</v>
      </c>
      <c r="AG32" s="550">
        <f t="shared" ca="1" si="21"/>
        <v>0</v>
      </c>
      <c r="AH32" s="551">
        <f t="shared" ca="1" si="22"/>
        <v>0.27110000000000001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2</v>
      </c>
      <c r="G33">
        <f t="shared" ca="1" si="6"/>
        <v>0</v>
      </c>
      <c r="H33">
        <f t="shared" ca="1" si="7"/>
        <v>0</v>
      </c>
      <c r="I33">
        <f t="shared" ca="1" si="8"/>
        <v>7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0.27110000000000001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hidden="1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2</v>
      </c>
      <c r="G34">
        <f t="shared" ca="1" si="6"/>
        <v>0</v>
      </c>
      <c r="H34">
        <f t="shared" ca="1" si="7"/>
        <v>0</v>
      </c>
      <c r="I34">
        <f t="shared" ca="1" si="8"/>
        <v>7</v>
      </c>
      <c r="J34">
        <f t="shared" ca="1" si="9"/>
        <v>0</v>
      </c>
      <c r="K34">
        <f ca="1">IF(OR($C34="S",$C34=0),0,MATCH(OFFSET($D34,0,$C34)+IF($C34&lt;&gt;1,1,COUNTIF(QCI!$A$13:$A$24,ORÇAMENTO!E34)),OFFSET($D34,1,$C34,ROW($C$266)-ROW($C34)),0))</f>
        <v>0</v>
      </c>
      <c r="L34" s="144" t="str">
        <f t="shared" ca="1" si="10"/>
        <v/>
      </c>
      <c r="M34" s="145" t="s">
        <v>198</v>
      </c>
      <c r="N34" s="146" t="str">
        <f t="shared" ca="1" si="11"/>
        <v>Serviço</v>
      </c>
      <c r="O34" s="147" t="str">
        <f t="shared" ca="1" si="12"/>
        <v>-</v>
      </c>
      <c r="P34" s="148" t="s">
        <v>246</v>
      </c>
      <c r="Q34" s="149"/>
      <c r="R34" s="150" t="str">
        <f t="shared" ca="1" si="24"/>
        <v>(Sem Código)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0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0</v>
      </c>
      <c r="AB34" s="158">
        <f t="shared" ca="1" si="17"/>
        <v>0</v>
      </c>
      <c r="AC34" s="159" t="str">
        <f t="shared" ca="1" si="18"/>
        <v/>
      </c>
      <c r="AD34" s="105" t="str">
        <f ca="1">IF(C34&lt;=CRONO.NivelExibicao,MAX($AD$15:OFFSET(AD34,-1,0))+IF($C34&lt;&gt;1,1,MAX(1,COUNTIF(QCI!$A$13:$A$24,OFFSET($E34,-1,0)))),"")</f>
        <v/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0.27110000000000001</v>
      </c>
      <c r="AJ34" s="553"/>
      <c r="AL34" s="574"/>
      <c r="AM34" s="431">
        <f t="shared" ca="1" si="0"/>
        <v>0</v>
      </c>
      <c r="AN34" s="617">
        <f t="shared" ca="1" si="23"/>
        <v>0</v>
      </c>
    </row>
    <row r="35" spans="1:40" hidden="1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2</v>
      </c>
      <c r="G35">
        <f t="shared" ca="1" si="6"/>
        <v>0</v>
      </c>
      <c r="H35">
        <f t="shared" ca="1" si="7"/>
        <v>0</v>
      </c>
      <c r="I35">
        <f t="shared" ca="1" si="8"/>
        <v>7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/>
      </c>
      <c r="M35" s="145" t="s">
        <v>198</v>
      </c>
      <c r="N35" s="146" t="str">
        <f t="shared" ca="1" si="11"/>
        <v>Serviço</v>
      </c>
      <c r="O35" s="147" t="str">
        <f t="shared" ca="1" si="12"/>
        <v>-</v>
      </c>
      <c r="P35" s="148" t="s">
        <v>246</v>
      </c>
      <c r="Q35" s="149"/>
      <c r="R35" s="150" t="str">
        <f t="shared" ca="1" si="24"/>
        <v>(Sem Código)</v>
      </c>
      <c r="S35" s="151" t="str">
        <f t="shared" ca="1" si="13"/>
        <v>-</v>
      </c>
      <c r="T35" s="152">
        <f ca="1">OFFSET(CÁLCULO!H$15,ROW($T35)-ROW(T$15),0)</f>
        <v>0</v>
      </c>
      <c r="U35" s="153"/>
      <c r="V35" s="154" t="s">
        <v>155</v>
      </c>
      <c r="W35" s="152">
        <f t="shared" ca="1" si="14"/>
        <v>0</v>
      </c>
      <c r="X35" s="155">
        <f t="shared" ca="1" si="15"/>
        <v>0</v>
      </c>
      <c r="Y35" s="156" t="s">
        <v>244</v>
      </c>
      <c r="Z35" t="str">
        <f t="shared" ca="1" si="16"/>
        <v/>
      </c>
      <c r="AA35" s="157">
        <f ca="1">IF($C35="S",IF($Z35="CP",$X35,IF($Z35="RA",(($X35)*QCI!$AA$3),0)),SomaAgrup)</f>
        <v>0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b">
        <f t="shared" ca="1" si="19"/>
        <v>0</v>
      </c>
      <c r="AF35" s="160" t="str">
        <f t="shared" ca="1" si="20"/>
        <v>(Sem Código)</v>
      </c>
      <c r="AG35" s="550">
        <f t="shared" ca="1" si="21"/>
        <v>0</v>
      </c>
      <c r="AH35" s="551">
        <f t="shared" ca="1" si="22"/>
        <v>0.27110000000000001</v>
      </c>
      <c r="AJ35" s="553"/>
      <c r="AL35" s="574"/>
      <c r="AM35" s="431">
        <f t="shared" ca="1" si="0"/>
        <v>0</v>
      </c>
      <c r="AN35" s="617">
        <f t="shared" ca="1" si="23"/>
        <v>0</v>
      </c>
    </row>
    <row r="36" spans="1:40" hidden="1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2</v>
      </c>
      <c r="G36">
        <f t="shared" ca="1" si="6"/>
        <v>0</v>
      </c>
      <c r="H36">
        <f t="shared" ca="1" si="7"/>
        <v>0</v>
      </c>
      <c r="I36">
        <f t="shared" ca="1" si="8"/>
        <v>7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/>
      </c>
      <c r="M36" s="145" t="s">
        <v>198</v>
      </c>
      <c r="N36" s="146" t="str">
        <f t="shared" ca="1" si="11"/>
        <v>Serviço</v>
      </c>
      <c r="O36" s="147" t="str">
        <f t="shared" ca="1" si="12"/>
        <v>-</v>
      </c>
      <c r="P36" s="148" t="s">
        <v>246</v>
      </c>
      <c r="Q36" s="149"/>
      <c r="R36" s="150" t="str">
        <f t="shared" ca="1" si="24"/>
        <v>(Sem Código)</v>
      </c>
      <c r="S36" s="151" t="str">
        <f t="shared" ca="1" si="13"/>
        <v>-</v>
      </c>
      <c r="T36" s="152">
        <f ca="1">OFFSET(CÁLCULO!H$15,ROW($T36)-ROW(T$15),0)</f>
        <v>0</v>
      </c>
      <c r="U36" s="153"/>
      <c r="V36" s="154" t="s">
        <v>155</v>
      </c>
      <c r="W36" s="152">
        <f t="shared" ca="1" si="14"/>
        <v>0</v>
      </c>
      <c r="X36" s="155">
        <f t="shared" ca="1" si="15"/>
        <v>0</v>
      </c>
      <c r="Y36" s="156" t="s">
        <v>244</v>
      </c>
      <c r="Z36" t="str">
        <f t="shared" ca="1" si="16"/>
        <v/>
      </c>
      <c r="AA36" s="157">
        <f ca="1">IF($C36="S",IF($Z36="CP",$X36,IF($Z36="RA",(($X36)*QCI!$AA$3),0)),SomaAgrup)</f>
        <v>0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b">
        <f t="shared" ca="1" si="19"/>
        <v>0</v>
      </c>
      <c r="AF36" s="160" t="str">
        <f t="shared" ca="1" si="20"/>
        <v>(Sem Código)</v>
      </c>
      <c r="AG36" s="550">
        <f t="shared" ca="1" si="21"/>
        <v>0</v>
      </c>
      <c r="AH36" s="551">
        <f t="shared" ca="1" si="22"/>
        <v>0.27110000000000001</v>
      </c>
      <c r="AJ36" s="553"/>
      <c r="AL36" s="574"/>
      <c r="AM36" s="431">
        <f t="shared" ca="1" si="0"/>
        <v>0</v>
      </c>
      <c r="AN36" s="617">
        <f t="shared" ca="1" si="23"/>
        <v>0</v>
      </c>
    </row>
    <row r="37" spans="1:40" hidden="1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2</v>
      </c>
      <c r="G37">
        <f t="shared" ca="1" si="6"/>
        <v>0</v>
      </c>
      <c r="H37">
        <f t="shared" ca="1" si="7"/>
        <v>0</v>
      </c>
      <c r="I37">
        <f t="shared" ca="1" si="8"/>
        <v>7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/>
      </c>
      <c r="M37" s="145" t="s">
        <v>198</v>
      </c>
      <c r="N37" s="146" t="str">
        <f t="shared" ca="1" si="11"/>
        <v>Serviço</v>
      </c>
      <c r="O37" s="147" t="str">
        <f t="shared" ca="1" si="12"/>
        <v>-</v>
      </c>
      <c r="P37" s="148" t="s">
        <v>246</v>
      </c>
      <c r="Q37" s="149"/>
      <c r="R37" s="150" t="str">
        <f t="shared" ca="1" si="24"/>
        <v>(Sem Código)</v>
      </c>
      <c r="S37" s="151" t="str">
        <f t="shared" ca="1" si="13"/>
        <v>-</v>
      </c>
      <c r="T37" s="152">
        <f ca="1">OFFSET(CÁLCULO!H$15,ROW($T37)-ROW(T$15),0)</f>
        <v>0</v>
      </c>
      <c r="U37" s="153"/>
      <c r="V37" s="154" t="s">
        <v>155</v>
      </c>
      <c r="W37" s="152">
        <f t="shared" ca="1" si="14"/>
        <v>0</v>
      </c>
      <c r="X37" s="155">
        <f t="shared" ca="1" si="15"/>
        <v>0</v>
      </c>
      <c r="Y37" s="156" t="s">
        <v>244</v>
      </c>
      <c r="Z37" t="str">
        <f t="shared" ca="1" si="16"/>
        <v/>
      </c>
      <c r="AA37" s="157">
        <f ca="1">IF($C37="S",IF($Z37="CP",$X37,IF($Z37="RA",(($X37)*QCI!$AA$3),0)),SomaAgrup)</f>
        <v>0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b">
        <f t="shared" ca="1" si="19"/>
        <v>0</v>
      </c>
      <c r="AF37" s="160" t="str">
        <f t="shared" ca="1" si="20"/>
        <v>(Sem Código)</v>
      </c>
      <c r="AG37" s="550">
        <f t="shared" ca="1" si="21"/>
        <v>0</v>
      </c>
      <c r="AH37" s="551">
        <f t="shared" ca="1" si="22"/>
        <v>0.27110000000000001</v>
      </c>
      <c r="AJ37" s="553"/>
      <c r="AL37" s="574"/>
      <c r="AM37" s="431">
        <f t="shared" ca="1" si="0"/>
        <v>0</v>
      </c>
      <c r="AN37" s="617">
        <f t="shared" ca="1" si="23"/>
        <v>0</v>
      </c>
    </row>
    <row r="38" spans="1:40" x14ac:dyDescent="0.2">
      <c r="A38">
        <f t="shared" si="1"/>
        <v>2</v>
      </c>
      <c r="B38">
        <f t="shared" ca="1" si="2"/>
        <v>2</v>
      </c>
      <c r="C38">
        <f t="shared" ca="1" si="3"/>
        <v>2</v>
      </c>
      <c r="D38">
        <f t="shared" ca="1" si="4"/>
        <v>12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0</v>
      </c>
      <c r="J38">
        <f t="shared" ca="1" si="9"/>
        <v>228</v>
      </c>
      <c r="K38">
        <f ca="1">IF(OR($C38="S",$C38=0),0,MATCH(OFFSET($D38,0,$C38)+IF($C38&lt;&gt;1,1,COUNTIF(QCI!$A$13:$A$24,ORÇAMENTO!E38)),OFFSET($D38,1,$C38,ROW($C$266)-ROW($C38)),0))</f>
        <v>12</v>
      </c>
      <c r="L38" s="144" t="str">
        <f t="shared" ca="1" si="10"/>
        <v>F</v>
      </c>
      <c r="M38" s="145" t="s">
        <v>195</v>
      </c>
      <c r="N38" s="146" t="str">
        <f t="shared" ca="1" si="11"/>
        <v>Nível 2</v>
      </c>
      <c r="O38" s="147" t="str">
        <f t="shared" ca="1" si="12"/>
        <v>1.3.</v>
      </c>
      <c r="P38" s="148" t="s">
        <v>246</v>
      </c>
      <c r="Q38" s="149"/>
      <c r="R38" s="150" t="str">
        <f ca="1">IF($C38="S",REFERENCIA.Descricao,"PAREDES E FECHAMENTOS")</f>
        <v>PAREDES E FECHAMENTOS</v>
      </c>
      <c r="S38" s="151" t="str">
        <f t="shared" ca="1" si="13"/>
        <v>-</v>
      </c>
      <c r="T38" s="152">
        <f ca="1">OFFSET(CÁLCULO!H$15,ROW($T38)-ROW(T$15),0)</f>
        <v>0</v>
      </c>
      <c r="U38" s="153"/>
      <c r="V38" s="154" t="s">
        <v>155</v>
      </c>
      <c r="W38" s="152">
        <f t="shared" ca="1" si="14"/>
        <v>0</v>
      </c>
      <c r="X38" s="155">
        <f t="shared" ca="1" si="15"/>
        <v>29609.11</v>
      </c>
      <c r="Y38" s="156" t="s">
        <v>244</v>
      </c>
      <c r="Z38" t="str">
        <f t="shared" ca="1" si="16"/>
        <v/>
      </c>
      <c r="AA38" s="157">
        <f ca="1">IF($C38="S",IF($Z38="CP",$X38,IF($Z38="RA",(($X38)*QCI!$AA$3),0)),SomaAgrup)</f>
        <v>29609.11</v>
      </c>
      <c r="AB38" s="158">
        <f t="shared" ca="1" si="17"/>
        <v>0</v>
      </c>
      <c r="AC38" s="159" t="str">
        <f t="shared" ca="1" si="18"/>
        <v/>
      </c>
      <c r="AD38" s="105">
        <f ca="1">IF(C38&lt;=CRONO.NivelExibicao,MAX($AD$15:OFFSET(AD38,-1,0))+IF($C38&lt;&gt;1,1,MAX(1,COUNTIF(QCI!$A$13:$A$24,OFFSET($E38,-1,0)))),"")</f>
        <v>4</v>
      </c>
      <c r="AE38" s="115" t="b">
        <f t="shared" ca="1" si="19"/>
        <v>0</v>
      </c>
      <c r="AF38" s="160" t="str">
        <f t="shared" ca="1" si="20"/>
        <v>(Sem Código)</v>
      </c>
      <c r="AG38" s="550">
        <f t="shared" ca="1" si="21"/>
        <v>0</v>
      </c>
      <c r="AH38" s="551">
        <f t="shared" ca="1" si="22"/>
        <v>0.27110000000000001</v>
      </c>
      <c r="AJ38" s="553"/>
      <c r="AL38" s="574"/>
      <c r="AM38" s="431">
        <f t="shared" ca="1" si="0"/>
        <v>29609.11</v>
      </c>
      <c r="AN38" s="617">
        <f t="shared" ca="1" si="23"/>
        <v>0</v>
      </c>
    </row>
    <row r="39" spans="1:40" ht="5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3</v>
      </c>
      <c r="G39">
        <f t="shared" ca="1" si="6"/>
        <v>0</v>
      </c>
      <c r="H39">
        <f t="shared" ca="1" si="7"/>
        <v>0</v>
      </c>
      <c r="I39">
        <f t="shared" ca="1" si="8"/>
        <v>1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>F</v>
      </c>
      <c r="M39" s="145" t="s">
        <v>198</v>
      </c>
      <c r="N39" s="146" t="str">
        <f t="shared" ca="1" si="11"/>
        <v>Serviço</v>
      </c>
      <c r="O39" s="147" t="str">
        <f t="shared" ca="1" si="12"/>
        <v>1.3.1.</v>
      </c>
      <c r="P39" s="148" t="s">
        <v>246</v>
      </c>
      <c r="Q39" s="149" t="s">
        <v>457</v>
      </c>
      <c r="R39" s="150" t="str">
        <f t="shared" ca="1" si="24"/>
        <v>ALVENARIA DE VEDAÇÃO DE BLOCOS CERÂMICOS FURADOS NA VERTICAL DE 9X19X39CM (ESPESSURA 9CM) DE PAREDES COM ÁREA LÍQUIDA MAIOR OU IGUAL A 6M² SEM VÃOS E ARGAMASSA DE ASSENTAMENTO COM PREPARO MANUAL. AF_06/2014</v>
      </c>
      <c r="S39" s="151" t="str">
        <f t="shared" ca="1" si="13"/>
        <v>M2</v>
      </c>
      <c r="T39" s="152">
        <f ca="1">OFFSET(CÁLCULO!H$15,ROW($T39)-ROW(T$15),0)</f>
        <v>260</v>
      </c>
      <c r="U39" s="153">
        <v>29.2</v>
      </c>
      <c r="V39" s="154" t="s">
        <v>155</v>
      </c>
      <c r="W39" s="152">
        <f t="shared" ca="1" si="14"/>
        <v>37.119999999999997</v>
      </c>
      <c r="X39" s="155">
        <f t="shared" ca="1" si="15"/>
        <v>9651.2000000000007</v>
      </c>
      <c r="Y39" s="156" t="s">
        <v>244</v>
      </c>
      <c r="Z39" t="str">
        <f t="shared" ca="1" si="16"/>
        <v>RA</v>
      </c>
      <c r="AA39" s="157">
        <f ca="1">IF($C39="S",IF($Z39="CP",$X39,IF($Z39="RA",(($X39)*QCI!$AA$3),0)),SomaAgrup)</f>
        <v>9651.2000000000007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str">
        <f t="shared" ca="1" si="19"/>
        <v>SINAPI 87478</v>
      </c>
      <c r="AF39" s="160">
        <f t="shared" ca="1" si="20"/>
        <v>4916</v>
      </c>
      <c r="AG39" s="550">
        <f t="shared" ca="1" si="21"/>
        <v>34.200000000000003</v>
      </c>
      <c r="AH39" s="551">
        <f t="shared" ca="1" si="22"/>
        <v>0.27110000000000001</v>
      </c>
      <c r="AJ39" s="553">
        <v>260</v>
      </c>
      <c r="AL39" s="574"/>
      <c r="AM39" s="431">
        <f t="shared" ca="1" si="0"/>
        <v>9651.2000000000007</v>
      </c>
      <c r="AN39" s="617">
        <f t="shared" ca="1" si="23"/>
        <v>37.119999999999997</v>
      </c>
    </row>
    <row r="40" spans="1:40" ht="5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3</v>
      </c>
      <c r="G40">
        <f t="shared" ca="1" si="6"/>
        <v>0</v>
      </c>
      <c r="H40">
        <f t="shared" ca="1" si="7"/>
        <v>0</v>
      </c>
      <c r="I40">
        <f t="shared" ca="1" si="8"/>
        <v>2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>F</v>
      </c>
      <c r="M40" s="145" t="s">
        <v>198</v>
      </c>
      <c r="N40" s="146" t="str">
        <f t="shared" ca="1" si="11"/>
        <v>Serviço</v>
      </c>
      <c r="O40" s="147" t="str">
        <f t="shared" ca="1" si="12"/>
        <v>1.3.2.</v>
      </c>
      <c r="P40" s="148" t="s">
        <v>246</v>
      </c>
      <c r="Q40" s="149" t="s">
        <v>458</v>
      </c>
      <c r="R40" s="150" t="str">
        <f t="shared" ca="1" si="24"/>
        <v>EMBOÇO OU MASSA ÚNICA EM ARGAMASSA TRAÇO 1:2:8, PREPARO MECÂNICO COM BETONEIRA 400 L, APLICADA MANUALMENTE EM PANOS CEGOS DE FACHADA (SEM PRESENÇA DE VÃOS), ESPESSURA DE 35 MM. AF_06/2014</v>
      </c>
      <c r="S40" s="151" t="str">
        <f t="shared" ca="1" si="13"/>
        <v>M2</v>
      </c>
      <c r="T40" s="152">
        <f ca="1">OFFSET(CÁLCULO!H$15,ROW($T40)-ROW(T$15),0)</f>
        <v>261.08</v>
      </c>
      <c r="U40" s="153">
        <v>26.3</v>
      </c>
      <c r="V40" s="154" t="s">
        <v>155</v>
      </c>
      <c r="W40" s="152">
        <f t="shared" ca="1" si="14"/>
        <v>33.43</v>
      </c>
      <c r="X40" s="155">
        <f t="shared" ca="1" si="15"/>
        <v>8727.9</v>
      </c>
      <c r="Y40" s="156" t="s">
        <v>244</v>
      </c>
      <c r="Z40" t="str">
        <f t="shared" ca="1" si="16"/>
        <v>RA</v>
      </c>
      <c r="AA40" s="157">
        <f ca="1">IF($C40="S",IF($Z40="CP",$X40,IF($Z40="RA",(($X40)*QCI!$AA$3),0)),SomaAgrup)</f>
        <v>8727.9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str">
        <f t="shared" ca="1" si="19"/>
        <v>SINAPI 87797</v>
      </c>
      <c r="AF40" s="160">
        <f t="shared" ca="1" si="20"/>
        <v>5544</v>
      </c>
      <c r="AG40" s="550">
        <f t="shared" ca="1" si="21"/>
        <v>32.520000000000003</v>
      </c>
      <c r="AH40" s="551">
        <f t="shared" ca="1" si="22"/>
        <v>0.27110000000000001</v>
      </c>
      <c r="AJ40" s="553">
        <v>261.08</v>
      </c>
      <c r="AL40" s="574"/>
      <c r="AM40" s="431">
        <f t="shared" ca="1" si="0"/>
        <v>8727.9</v>
      </c>
      <c r="AN40" s="617">
        <f t="shared" ca="1" si="23"/>
        <v>33.43</v>
      </c>
    </row>
    <row r="41" spans="1:40" ht="5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3</v>
      </c>
      <c r="G41">
        <f t="shared" ca="1" si="6"/>
        <v>0</v>
      </c>
      <c r="H41">
        <f t="shared" ca="1" si="7"/>
        <v>0</v>
      </c>
      <c r="I41">
        <f t="shared" ca="1" si="8"/>
        <v>3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>F</v>
      </c>
      <c r="M41" s="145" t="s">
        <v>198</v>
      </c>
      <c r="N41" s="146" t="str">
        <f t="shared" ca="1" si="11"/>
        <v>Serviço</v>
      </c>
      <c r="O41" s="147" t="str">
        <f t="shared" ca="1" si="12"/>
        <v>1.3.3.</v>
      </c>
      <c r="P41" s="148" t="s">
        <v>246</v>
      </c>
      <c r="Q41" s="149" t="s">
        <v>459</v>
      </c>
      <c r="R41" s="150" t="s">
        <v>460</v>
      </c>
      <c r="S41" s="151" t="str">
        <f t="shared" ca="1" si="13"/>
        <v>M2</v>
      </c>
      <c r="T41" s="152">
        <f ca="1">OFFSET(CÁLCULO!H$15,ROW($T41)-ROW(T$15),0)</f>
        <v>276.39999999999998</v>
      </c>
      <c r="U41" s="153">
        <v>23.3</v>
      </c>
      <c r="V41" s="154" t="s">
        <v>155</v>
      </c>
      <c r="W41" s="152">
        <f t="shared" ca="1" si="14"/>
        <v>29.62</v>
      </c>
      <c r="X41" s="155">
        <f t="shared" ca="1" si="15"/>
        <v>8186.97</v>
      </c>
      <c r="Y41" s="156" t="s">
        <v>244</v>
      </c>
      <c r="Z41" t="str">
        <f t="shared" ca="1" si="16"/>
        <v>RA</v>
      </c>
      <c r="AA41" s="157">
        <f ca="1">IF($C41="S",IF($Z41="CP",$X41,IF($Z41="RA",(($X41)*QCI!$AA$3),0)),SomaAgrup)</f>
        <v>8186.97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str">
        <f t="shared" ca="1" si="19"/>
        <v>SINAPI 87532</v>
      </c>
      <c r="AF41" s="160">
        <f t="shared" ca="1" si="20"/>
        <v>5508</v>
      </c>
      <c r="AG41" s="550">
        <f t="shared" ca="1" si="21"/>
        <v>27.42</v>
      </c>
      <c r="AH41" s="551">
        <f t="shared" ca="1" si="22"/>
        <v>0.27110000000000001</v>
      </c>
      <c r="AJ41" s="553">
        <v>276.39999999999998</v>
      </c>
      <c r="AL41" s="574"/>
      <c r="AM41" s="431">
        <f t="shared" ca="1" si="0"/>
        <v>8186.97</v>
      </c>
      <c r="AN41" s="617">
        <f t="shared" ca="1" si="23"/>
        <v>29.62</v>
      </c>
    </row>
    <row r="42" spans="1:40" ht="51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3</v>
      </c>
      <c r="G42">
        <f t="shared" ca="1" si="6"/>
        <v>0</v>
      </c>
      <c r="H42">
        <f t="shared" ca="1" si="7"/>
        <v>0</v>
      </c>
      <c r="I42">
        <f t="shared" ca="1" si="8"/>
        <v>4</v>
      </c>
      <c r="J42">
        <f t="shared" ca="1" si="9"/>
        <v>0</v>
      </c>
      <c r="K42">
        <f ca="1">IF(OR($C42="S",$C42=0),0,MATCH(OFFSET($D42,0,$C42)+IF($C42&lt;&gt;1,1,COUNTIF(QCI!$A$13:$A$24,ORÇAMENTO!E42)),OFFSET($D42,1,$C42,ROW($C$266)-ROW($C42)),0))</f>
        <v>0</v>
      </c>
      <c r="L42" s="144" t="str">
        <f t="shared" ca="1" si="10"/>
        <v>F</v>
      </c>
      <c r="M42" s="145" t="s">
        <v>198</v>
      </c>
      <c r="N42" s="146" t="str">
        <f t="shared" ca="1" si="11"/>
        <v>Serviço</v>
      </c>
      <c r="O42" s="147" t="str">
        <f t="shared" ca="1" si="12"/>
        <v>1.3.4.</v>
      </c>
      <c r="P42" s="148" t="s">
        <v>246</v>
      </c>
      <c r="Q42" s="149" t="s">
        <v>461</v>
      </c>
      <c r="R42" s="150" t="str">
        <f t="shared" ca="1" si="24"/>
        <v>CHAPISCO APLICADO EM ALVENARIA (SEM PRESENÇA DE VÃOS) E ESTRUTURAS DE CONCRETO DE FACHADA, COM COLHER DE PEDREIRO.  ARGAMASSA TRAÇO 1:3 COM PREPARO EM BETONEIRA 400L. AF_06/2014</v>
      </c>
      <c r="S42" s="151" t="str">
        <f t="shared" ca="1" si="13"/>
        <v>M2</v>
      </c>
      <c r="T42" s="152">
        <f ca="1">OFFSET(CÁLCULO!H$15,ROW($T42)-ROW(T$15),0)</f>
        <v>532</v>
      </c>
      <c r="U42" s="153">
        <v>4.5</v>
      </c>
      <c r="V42" s="154" t="s">
        <v>155</v>
      </c>
      <c r="W42" s="152">
        <f t="shared" ca="1" si="14"/>
        <v>5.72</v>
      </c>
      <c r="X42" s="155">
        <f t="shared" ca="1" si="15"/>
        <v>3043.04</v>
      </c>
      <c r="Y42" s="156" t="s">
        <v>244</v>
      </c>
      <c r="Z42" t="str">
        <f t="shared" ca="1" si="16"/>
        <v>RA</v>
      </c>
      <c r="AA42" s="157">
        <f ca="1">IF($C42="S",IF($Z42="CP",$X42,IF($Z42="RA",(($X42)*QCI!$AA$3),0)),SomaAgrup)</f>
        <v>3043.04</v>
      </c>
      <c r="AB42" s="158">
        <f t="shared" ca="1" si="17"/>
        <v>0</v>
      </c>
      <c r="AC42" s="159" t="str">
        <f t="shared" ca="1" si="18"/>
        <v/>
      </c>
      <c r="AD42" s="105" t="str">
        <f ca="1">IF(C42&lt;=CRONO.NivelExibicao,MAX($AD$15:OFFSET(AD42,-1,0))+IF($C42&lt;&gt;1,1,MAX(1,COUNTIF(QCI!$A$13:$A$24,OFFSET($E42,-1,0)))),"")</f>
        <v/>
      </c>
      <c r="AE42" s="115" t="str">
        <f t="shared" ca="1" si="19"/>
        <v>SINAPI 87894</v>
      </c>
      <c r="AF42" s="160">
        <f t="shared" ca="1" si="20"/>
        <v>5460</v>
      </c>
      <c r="AG42" s="550">
        <f t="shared" ca="1" si="21"/>
        <v>5.17</v>
      </c>
      <c r="AH42" s="551">
        <f t="shared" ca="1" si="22"/>
        <v>0.27110000000000001</v>
      </c>
      <c r="AJ42" s="553">
        <v>532</v>
      </c>
      <c r="AL42" s="574"/>
      <c r="AM42" s="431">
        <f t="shared" ca="1" si="0"/>
        <v>3043.04</v>
      </c>
      <c r="AN42" s="617">
        <f t="shared" ca="1" si="23"/>
        <v>5.72</v>
      </c>
    </row>
    <row r="43" spans="1:40" hidden="1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3</v>
      </c>
      <c r="G43">
        <f t="shared" ca="1" si="6"/>
        <v>0</v>
      </c>
      <c r="H43">
        <f t="shared" ca="1" si="7"/>
        <v>0</v>
      </c>
      <c r="I43">
        <f t="shared" ca="1" si="8"/>
        <v>4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/>
      </c>
      <c r="M43" s="145" t="s">
        <v>198</v>
      </c>
      <c r="N43" s="146" t="str">
        <f t="shared" ca="1" si="11"/>
        <v>Serviço</v>
      </c>
      <c r="O43" s="147" t="str">
        <f t="shared" ca="1" si="12"/>
        <v>-</v>
      </c>
      <c r="P43" s="148" t="s">
        <v>246</v>
      </c>
      <c r="Q43" s="149"/>
      <c r="R43" s="150" t="str">
        <f ca="1">IF($C43="S",REFERENCIA.Descricao,"(digite a descrição aqui)")</f>
        <v>(Sem Código)</v>
      </c>
      <c r="S43" s="151" t="str">
        <f t="shared" ca="1" si="13"/>
        <v>-</v>
      </c>
      <c r="T43" s="152">
        <f ca="1">OFFSET(CÁLCULO!H$15,ROW($T43)-ROW(T$15),0)</f>
        <v>0</v>
      </c>
      <c r="U43" s="153"/>
      <c r="V43" s="154" t="s">
        <v>155</v>
      </c>
      <c r="W43" s="152">
        <f t="shared" ca="1" si="14"/>
        <v>0</v>
      </c>
      <c r="X43" s="155">
        <f t="shared" ca="1" si="15"/>
        <v>0</v>
      </c>
      <c r="Y43" s="156" t="s">
        <v>244</v>
      </c>
      <c r="Z43" t="str">
        <f t="shared" ca="1" si="16"/>
        <v/>
      </c>
      <c r="AA43" s="157">
        <f ca="1">IF($C43="S",IF($Z43="CP",$X43,IF($Z43="RA",(($X43)*QCI!$AA$3),0)),SomaAgrup)</f>
        <v>0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b">
        <f t="shared" ca="1" si="19"/>
        <v>0</v>
      </c>
      <c r="AF43" s="160" t="str">
        <f t="shared" ca="1" si="20"/>
        <v>(Sem Código)</v>
      </c>
      <c r="AG43" s="550">
        <f t="shared" ca="1" si="21"/>
        <v>0</v>
      </c>
      <c r="AH43" s="551">
        <f t="shared" ca="1" si="22"/>
        <v>0.27110000000000001</v>
      </c>
      <c r="AJ43" s="553"/>
      <c r="AL43" s="574"/>
      <c r="AM43" s="431">
        <f t="shared" ca="1" si="0"/>
        <v>0</v>
      </c>
      <c r="AN43" s="617">
        <f t="shared" ca="1" si="23"/>
        <v>0</v>
      </c>
    </row>
    <row r="44" spans="1:40" hidden="1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3</v>
      </c>
      <c r="G44">
        <f t="shared" ca="1" si="6"/>
        <v>0</v>
      </c>
      <c r="H44">
        <f t="shared" ca="1" si="7"/>
        <v>0</v>
      </c>
      <c r="I44">
        <f t="shared" ca="1" si="8"/>
        <v>4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/>
      </c>
      <c r="M44" s="145" t="s">
        <v>198</v>
      </c>
      <c r="N44" s="146" t="str">
        <f t="shared" ca="1" si="11"/>
        <v>Serviço</v>
      </c>
      <c r="O44" s="147" t="str">
        <f t="shared" ca="1" si="12"/>
        <v>-</v>
      </c>
      <c r="P44" s="148" t="s">
        <v>246</v>
      </c>
      <c r="Q44" s="149"/>
      <c r="R44" s="150" t="str">
        <f t="shared" ca="1" si="24"/>
        <v>(Sem Código)</v>
      </c>
      <c r="S44" s="151" t="str">
        <f t="shared" ca="1" si="13"/>
        <v>-</v>
      </c>
      <c r="T44" s="152">
        <f ca="1">OFFSET(CÁLCULO!H$15,ROW($T44)-ROW(T$15),0)</f>
        <v>0</v>
      </c>
      <c r="U44" s="153"/>
      <c r="V44" s="154" t="s">
        <v>155</v>
      </c>
      <c r="W44" s="152">
        <f t="shared" ca="1" si="14"/>
        <v>0</v>
      </c>
      <c r="X44" s="155">
        <f t="shared" ca="1" si="15"/>
        <v>0</v>
      </c>
      <c r="Y44" s="156" t="s">
        <v>244</v>
      </c>
      <c r="Z44" t="str">
        <f t="shared" ca="1" si="16"/>
        <v/>
      </c>
      <c r="AA44" s="157">
        <f ca="1">IF($C44="S",IF($Z44="CP",$X44,IF($Z44="RA",(($X44)*QCI!$AA$3),0)),SomaAgrup)</f>
        <v>0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b">
        <f t="shared" ca="1" si="19"/>
        <v>0</v>
      </c>
      <c r="AF44" s="160" t="str">
        <f t="shared" ca="1" si="20"/>
        <v>(Sem Código)</v>
      </c>
      <c r="AG44" s="550">
        <f t="shared" ca="1" si="21"/>
        <v>0</v>
      </c>
      <c r="AH44" s="551">
        <f t="shared" ca="1" si="22"/>
        <v>0.27110000000000001</v>
      </c>
      <c r="AJ44" s="553"/>
      <c r="AL44" s="574"/>
      <c r="AM44" s="431">
        <f t="shared" ca="1" si="0"/>
        <v>0</v>
      </c>
      <c r="AN44" s="617">
        <f t="shared" ca="1" si="23"/>
        <v>0</v>
      </c>
    </row>
    <row r="45" spans="1:40" hidden="1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3</v>
      </c>
      <c r="G45">
        <f t="shared" ca="1" si="6"/>
        <v>0</v>
      </c>
      <c r="H45">
        <f t="shared" ca="1" si="7"/>
        <v>0</v>
      </c>
      <c r="I45">
        <f t="shared" ca="1" si="8"/>
        <v>4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/>
      </c>
      <c r="M45" s="145" t="s">
        <v>198</v>
      </c>
      <c r="N45" s="146" t="str">
        <f t="shared" ca="1" si="11"/>
        <v>Serviço</v>
      </c>
      <c r="O45" s="147" t="str">
        <f t="shared" ca="1" si="12"/>
        <v>-</v>
      </c>
      <c r="P45" s="148" t="s">
        <v>246</v>
      </c>
      <c r="Q45" s="149"/>
      <c r="R45" s="150" t="str">
        <f t="shared" ca="1" si="24"/>
        <v>(Sem Código)</v>
      </c>
      <c r="S45" s="151" t="str">
        <f t="shared" ca="1" si="13"/>
        <v>-</v>
      </c>
      <c r="T45" s="152">
        <f ca="1">OFFSET(CÁLCULO!H$15,ROW($T45)-ROW(T$15),0)</f>
        <v>0</v>
      </c>
      <c r="U45" s="153"/>
      <c r="V45" s="154" t="s">
        <v>155</v>
      </c>
      <c r="W45" s="152">
        <f t="shared" ca="1" si="14"/>
        <v>0</v>
      </c>
      <c r="X45" s="155">
        <f t="shared" ca="1" si="15"/>
        <v>0</v>
      </c>
      <c r="Y45" s="156" t="s">
        <v>244</v>
      </c>
      <c r="Z45" t="str">
        <f t="shared" ca="1" si="16"/>
        <v/>
      </c>
      <c r="AA45" s="157">
        <f ca="1">IF($C45="S",IF($Z45="CP",$X45,IF($Z45="RA",(($X45)*QCI!$AA$3),0)),SomaAgrup)</f>
        <v>0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b">
        <f t="shared" ca="1" si="19"/>
        <v>0</v>
      </c>
      <c r="AF45" s="160" t="str">
        <f t="shared" ca="1" si="20"/>
        <v>(Sem Código)</v>
      </c>
      <c r="AG45" s="550">
        <f t="shared" ca="1" si="21"/>
        <v>0</v>
      </c>
      <c r="AH45" s="551">
        <f t="shared" ca="1" si="22"/>
        <v>0.27110000000000001</v>
      </c>
      <c r="AJ45" s="553"/>
      <c r="AL45" s="574"/>
      <c r="AM45" s="431">
        <f t="shared" ca="1" si="0"/>
        <v>0</v>
      </c>
      <c r="AN45" s="617">
        <f t="shared" ca="1" si="23"/>
        <v>0</v>
      </c>
    </row>
    <row r="46" spans="1:40" hidden="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3</v>
      </c>
      <c r="G46">
        <f t="shared" ca="1" si="6"/>
        <v>0</v>
      </c>
      <c r="H46">
        <f t="shared" ca="1" si="7"/>
        <v>0</v>
      </c>
      <c r="I46">
        <f t="shared" ca="1" si="8"/>
        <v>4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/>
      </c>
      <c r="M46" s="145" t="s">
        <v>198</v>
      </c>
      <c r="N46" s="146" t="str">
        <f t="shared" ca="1" si="11"/>
        <v>Serviço</v>
      </c>
      <c r="O46" s="147" t="str">
        <f t="shared" ca="1" si="12"/>
        <v>-</v>
      </c>
      <c r="P46" s="148" t="s">
        <v>246</v>
      </c>
      <c r="Q46" s="149"/>
      <c r="R46" s="150" t="str">
        <f t="shared" ca="1" si="24"/>
        <v>(Sem Código)</v>
      </c>
      <c r="S46" s="151" t="str">
        <f t="shared" ca="1" si="13"/>
        <v>-</v>
      </c>
      <c r="T46" s="152">
        <f ca="1">OFFSET(CÁLCULO!H$15,ROW($T46)-ROW(T$15),0)</f>
        <v>0</v>
      </c>
      <c r="U46" s="153"/>
      <c r="V46" s="154" t="s">
        <v>155</v>
      </c>
      <c r="W46" s="152">
        <f t="shared" ca="1" si="14"/>
        <v>0</v>
      </c>
      <c r="X46" s="155">
        <f t="shared" ca="1" si="15"/>
        <v>0</v>
      </c>
      <c r="Y46" s="156" t="s">
        <v>244</v>
      </c>
      <c r="Z46" t="str">
        <f t="shared" ca="1" si="16"/>
        <v/>
      </c>
      <c r="AA46" s="157">
        <f ca="1">IF($C46="S",IF($Z46="CP",$X46,IF($Z46="RA",(($X46)*QCI!$AA$3),0)),SomaAgrup)</f>
        <v>0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b">
        <f t="shared" ca="1" si="19"/>
        <v>0</v>
      </c>
      <c r="AF46" s="160" t="str">
        <f t="shared" ca="1" si="20"/>
        <v>(Sem Código)</v>
      </c>
      <c r="AG46" s="550">
        <f t="shared" ca="1" si="21"/>
        <v>0</v>
      </c>
      <c r="AH46" s="551">
        <f t="shared" ca="1" si="22"/>
        <v>0.27110000000000001</v>
      </c>
      <c r="AJ46" s="553"/>
      <c r="AL46" s="574"/>
      <c r="AM46" s="431">
        <f t="shared" ca="1" si="0"/>
        <v>0</v>
      </c>
      <c r="AN46" s="617">
        <f t="shared" ca="1" si="23"/>
        <v>0</v>
      </c>
    </row>
    <row r="47" spans="1:40" hidden="1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3</v>
      </c>
      <c r="G47">
        <f t="shared" ca="1" si="6"/>
        <v>0</v>
      </c>
      <c r="H47">
        <f t="shared" ca="1" si="7"/>
        <v>0</v>
      </c>
      <c r="I47">
        <f t="shared" ca="1" si="8"/>
        <v>4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/>
      </c>
      <c r="M47" s="145" t="s">
        <v>198</v>
      </c>
      <c r="N47" s="146" t="str">
        <f t="shared" ca="1" si="11"/>
        <v>Serviço</v>
      </c>
      <c r="O47" s="147" t="str">
        <f t="shared" ca="1" si="12"/>
        <v>-</v>
      </c>
      <c r="P47" s="148" t="s">
        <v>246</v>
      </c>
      <c r="Q47" s="149"/>
      <c r="R47" s="150" t="str">
        <f t="shared" ca="1" si="24"/>
        <v>(Sem Código)</v>
      </c>
      <c r="S47" s="151" t="str">
        <f t="shared" ca="1" si="13"/>
        <v>-</v>
      </c>
      <c r="T47" s="152">
        <f ca="1">OFFSET(CÁLCULO!H$15,ROW($T47)-ROW(T$15),0)</f>
        <v>0</v>
      </c>
      <c r="U47" s="153"/>
      <c r="V47" s="154" t="s">
        <v>155</v>
      </c>
      <c r="W47" s="152">
        <f t="shared" ca="1" si="14"/>
        <v>0</v>
      </c>
      <c r="X47" s="155">
        <f t="shared" ca="1" si="15"/>
        <v>0</v>
      </c>
      <c r="Y47" s="156" t="s">
        <v>244</v>
      </c>
      <c r="Z47" t="str">
        <f t="shared" ca="1" si="16"/>
        <v/>
      </c>
      <c r="AA47" s="157">
        <f ca="1">IF($C47="S",IF($Z47="CP",$X47,IF($Z47="RA",(($X47)*QCI!$AA$3),0)),SomaAgrup)</f>
        <v>0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b">
        <f t="shared" ca="1" si="19"/>
        <v>0</v>
      </c>
      <c r="AF47" s="160" t="str">
        <f t="shared" ca="1" si="20"/>
        <v>(Sem Código)</v>
      </c>
      <c r="AG47" s="550">
        <f t="shared" ca="1" si="21"/>
        <v>0</v>
      </c>
      <c r="AH47" s="551">
        <f t="shared" ca="1" si="22"/>
        <v>0.27110000000000001</v>
      </c>
      <c r="AJ47" s="553"/>
      <c r="AL47" s="574"/>
      <c r="AM47" s="431">
        <f t="shared" ca="1" si="0"/>
        <v>0</v>
      </c>
      <c r="AN47" s="617">
        <f t="shared" ca="1" si="23"/>
        <v>0</v>
      </c>
    </row>
    <row r="48" spans="1:40" hidden="1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3</v>
      </c>
      <c r="G48">
        <f t="shared" ca="1" si="6"/>
        <v>0</v>
      </c>
      <c r="H48">
        <f t="shared" ca="1" si="7"/>
        <v>0</v>
      </c>
      <c r="I48">
        <f t="shared" ca="1" si="8"/>
        <v>4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/>
      </c>
      <c r="M48" s="145" t="s">
        <v>198</v>
      </c>
      <c r="N48" s="146" t="str">
        <f t="shared" ca="1" si="11"/>
        <v>Serviço</v>
      </c>
      <c r="O48" s="147" t="str">
        <f t="shared" ca="1" si="12"/>
        <v>-</v>
      </c>
      <c r="P48" s="148" t="s">
        <v>246</v>
      </c>
      <c r="Q48" s="149"/>
      <c r="R48" s="150" t="str">
        <f t="shared" ca="1" si="24"/>
        <v>(Sem Código)</v>
      </c>
      <c r="S48" s="151" t="str">
        <f t="shared" ca="1" si="13"/>
        <v>-</v>
      </c>
      <c r="T48" s="152">
        <f ca="1">OFFSET(CÁLCULO!H$15,ROW($T48)-ROW(T$15),0)</f>
        <v>0</v>
      </c>
      <c r="U48" s="153"/>
      <c r="V48" s="154" t="s">
        <v>155</v>
      </c>
      <c r="W48" s="152">
        <f t="shared" ca="1" si="14"/>
        <v>0</v>
      </c>
      <c r="X48" s="155">
        <f t="shared" ca="1" si="15"/>
        <v>0</v>
      </c>
      <c r="Y48" s="156" t="s">
        <v>244</v>
      </c>
      <c r="Z48" t="str">
        <f t="shared" ca="1" si="16"/>
        <v/>
      </c>
      <c r="AA48" s="157">
        <f ca="1">IF($C48="S",IF($Z48="CP",$X48,IF($Z48="RA",(($X48)*QCI!$AA$3),0)),SomaAgrup)</f>
        <v>0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b">
        <f t="shared" ca="1" si="19"/>
        <v>0</v>
      </c>
      <c r="AF48" s="160" t="str">
        <f t="shared" ca="1" si="20"/>
        <v>(Sem Código)</v>
      </c>
      <c r="AG48" s="550">
        <f t="shared" ca="1" si="21"/>
        <v>0</v>
      </c>
      <c r="AH48" s="551">
        <f t="shared" ca="1" si="22"/>
        <v>0.27110000000000001</v>
      </c>
      <c r="AJ48" s="553"/>
      <c r="AL48" s="574"/>
      <c r="AM48" s="431">
        <f t="shared" ca="1" si="0"/>
        <v>0</v>
      </c>
      <c r="AN48" s="617">
        <f t="shared" ca="1" si="23"/>
        <v>0</v>
      </c>
    </row>
    <row r="49" spans="1:40" hidden="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3</v>
      </c>
      <c r="G49">
        <f t="shared" ca="1" si="6"/>
        <v>0</v>
      </c>
      <c r="H49">
        <f t="shared" ca="1" si="7"/>
        <v>0</v>
      </c>
      <c r="I49">
        <f t="shared" ca="1" si="8"/>
        <v>4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/>
      </c>
      <c r="M49" s="145" t="s">
        <v>198</v>
      </c>
      <c r="N49" s="146" t="str">
        <f t="shared" ca="1" si="11"/>
        <v>Serviço</v>
      </c>
      <c r="O49" s="147" t="str">
        <f t="shared" ca="1" si="12"/>
        <v>-</v>
      </c>
      <c r="P49" s="148" t="s">
        <v>246</v>
      </c>
      <c r="Q49" s="149"/>
      <c r="R49" s="150" t="str">
        <f t="shared" ca="1" si="24"/>
        <v>(Sem Código)</v>
      </c>
      <c r="S49" s="151" t="str">
        <f t="shared" ca="1" si="13"/>
        <v>-</v>
      </c>
      <c r="T49" s="152">
        <f ca="1">OFFSET(CÁLCULO!H$15,ROW($T49)-ROW(T$15),0)</f>
        <v>0</v>
      </c>
      <c r="U49" s="153"/>
      <c r="V49" s="154" t="s">
        <v>155</v>
      </c>
      <c r="W49" s="152">
        <f t="shared" ca="1" si="14"/>
        <v>0</v>
      </c>
      <c r="X49" s="155">
        <f t="shared" ca="1" si="15"/>
        <v>0</v>
      </c>
      <c r="Y49" s="156" t="s">
        <v>244</v>
      </c>
      <c r="Z49" t="str">
        <f t="shared" ca="1" si="16"/>
        <v/>
      </c>
      <c r="AA49" s="157">
        <f ca="1">IF($C49="S",IF($Z49="CP",$X49,IF($Z49="RA",(($X49)*QCI!$AA$3),0)),SomaAgrup)</f>
        <v>0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b">
        <f t="shared" ca="1" si="19"/>
        <v>0</v>
      </c>
      <c r="AF49" s="160" t="str">
        <f t="shared" ca="1" si="20"/>
        <v>(Sem Código)</v>
      </c>
      <c r="AG49" s="550">
        <f t="shared" ca="1" si="21"/>
        <v>0</v>
      </c>
      <c r="AH49" s="551">
        <f t="shared" ca="1" si="22"/>
        <v>0.27110000000000001</v>
      </c>
      <c r="AJ49" s="553"/>
      <c r="AL49" s="574"/>
      <c r="AM49" s="431">
        <f t="shared" ca="1" si="0"/>
        <v>0</v>
      </c>
      <c r="AN49" s="617">
        <f t="shared" ca="1" si="23"/>
        <v>0</v>
      </c>
    </row>
    <row r="50" spans="1:40" x14ac:dyDescent="0.2">
      <c r="A50">
        <f t="shared" si="1"/>
        <v>2</v>
      </c>
      <c r="B50">
        <f t="shared" ca="1" si="2"/>
        <v>2</v>
      </c>
      <c r="C50">
        <f t="shared" ca="1" si="3"/>
        <v>2</v>
      </c>
      <c r="D50">
        <f t="shared" ca="1" si="4"/>
        <v>10</v>
      </c>
      <c r="E50">
        <f ca="1">IF($C50=1,OFFSET(E50,-1,0)+MAX(1,COUNTIF(QCI!$A$13:$A$24,OFFSET(ORÇAMENTO!E50,-1,0))),OFFSET(E50,-1,0))</f>
        <v>1</v>
      </c>
      <c r="F50">
        <f t="shared" ca="1" si="5"/>
        <v>4</v>
      </c>
      <c r="G50">
        <f t="shared" ca="1" si="6"/>
        <v>0</v>
      </c>
      <c r="H50">
        <f t="shared" ca="1" si="7"/>
        <v>0</v>
      </c>
      <c r="I50">
        <f t="shared" ca="1" si="8"/>
        <v>0</v>
      </c>
      <c r="J50">
        <f t="shared" ca="1" si="9"/>
        <v>216</v>
      </c>
      <c r="K50">
        <f ca="1">IF(OR($C50="S",$C50=0),0,MATCH(OFFSET($D50,0,$C50)+IF($C50&lt;&gt;1,1,COUNTIF(QCI!$A$13:$A$24,ORÇAMENTO!E50)),OFFSET($D50,1,$C50,ROW($C$266)-ROW($C50)),0))</f>
        <v>10</v>
      </c>
      <c r="L50" s="144" t="str">
        <f t="shared" ca="1" si="10"/>
        <v>F</v>
      </c>
      <c r="M50" s="145" t="s">
        <v>195</v>
      </c>
      <c r="N50" s="146" t="str">
        <f t="shared" ca="1" si="11"/>
        <v>Nível 2</v>
      </c>
      <c r="O50" s="147" t="str">
        <f t="shared" ca="1" si="12"/>
        <v>1.4.</v>
      </c>
      <c r="P50" s="148" t="s">
        <v>246</v>
      </c>
      <c r="Q50" s="149"/>
      <c r="R50" s="150" t="str">
        <f ca="1">IF($C50="S",REFERENCIA.Descricao,"COBERTURA")</f>
        <v>COBERTURA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20837.439999999999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20837.439999999999</v>
      </c>
      <c r="AB50" s="158">
        <f t="shared" ca="1" si="17"/>
        <v>0</v>
      </c>
      <c r="AC50" s="159" t="str">
        <f t="shared" ca="1" si="18"/>
        <v/>
      </c>
      <c r="AD50" s="105">
        <f ca="1">IF(C50&lt;=CRONO.NivelExibicao,MAX($AD$15:OFFSET(AD50,-1,0))+IF($C50&lt;&gt;1,1,MAX(1,COUNTIF(QCI!$A$13:$A$24,OFFSET($E50,-1,0)))),"")</f>
        <v>5</v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0.27110000000000001</v>
      </c>
      <c r="AJ50" s="553"/>
      <c r="AL50" s="574"/>
      <c r="AM50" s="431">
        <f t="shared" ca="1" si="0"/>
        <v>20837.439999999999</v>
      </c>
      <c r="AN50" s="617">
        <f t="shared" ca="1" si="23"/>
        <v>0</v>
      </c>
    </row>
    <row r="51" spans="1:40" ht="76.5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4</v>
      </c>
      <c r="G51">
        <f t="shared" ca="1" si="6"/>
        <v>0</v>
      </c>
      <c r="H51">
        <f t="shared" ca="1" si="7"/>
        <v>0</v>
      </c>
      <c r="I51">
        <f t="shared" ca="1" si="8"/>
        <v>1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>F</v>
      </c>
      <c r="M51" s="145" t="s">
        <v>198</v>
      </c>
      <c r="N51" s="146" t="str">
        <f t="shared" ca="1" si="11"/>
        <v>Serviço</v>
      </c>
      <c r="O51" s="147" t="str">
        <f t="shared" ca="1" si="12"/>
        <v>1.4.1.</v>
      </c>
      <c r="P51" s="148" t="s">
        <v>462</v>
      </c>
      <c r="Q51" s="149" t="s">
        <v>463</v>
      </c>
      <c r="R51" s="150" t="str">
        <f t="shared" ca="1" si="24"/>
        <v>ESTRUTURA METALICA EM TESOURAS OU TRELIÇAS, VÃO LICRE DE 15M, FORNECIMENTO E MONTAGEM, SENDO CONSIDERADOS FECHAMENTOS METALICOS DE ALUZINCO COM PINTURA, NAO SENDO CONSIDERADO, COLUNAS, OS SERVIÇOS GERAIS EM ALVENARIA E CONCRETO, AS TELHAS DE COBERTURA (CONFORME PROJETO).</v>
      </c>
      <c r="S51" s="151" t="str">
        <f t="shared" ca="1" si="13"/>
        <v>M2</v>
      </c>
      <c r="T51" s="152">
        <f ca="1">OFFSET(CÁLCULO!H$15,ROW($T51)-ROW(T$15),0)</f>
        <v>110</v>
      </c>
      <c r="U51" s="153">
        <v>78.5</v>
      </c>
      <c r="V51" s="154" t="s">
        <v>155</v>
      </c>
      <c r="W51" s="152">
        <f t="shared" ca="1" si="14"/>
        <v>99.78</v>
      </c>
      <c r="X51" s="155">
        <f t="shared" ca="1" si="15"/>
        <v>10975.8</v>
      </c>
      <c r="Y51" s="156" t="s">
        <v>244</v>
      </c>
      <c r="Z51" t="str">
        <f t="shared" ca="1" si="16"/>
        <v>RA</v>
      </c>
      <c r="AA51" s="157">
        <f ca="1">IF($C51="S",IF($Z51="CP",$X51,IF($Z51="RA",(($X51)*QCI!$AA$3),0)),SomaAgrup)</f>
        <v>10975.8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str">
        <f t="shared" ca="1" si="19"/>
        <v>Cotação 001</v>
      </c>
      <c r="AF51" s="160">
        <f t="shared" ca="1" si="20"/>
        <v>18</v>
      </c>
      <c r="AG51" s="550">
        <f t="shared" ca="1" si="21"/>
        <v>394.7</v>
      </c>
      <c r="AH51" s="551">
        <f t="shared" ca="1" si="22"/>
        <v>0.27110000000000001</v>
      </c>
      <c r="AJ51" s="553">
        <v>110</v>
      </c>
      <c r="AL51" s="574"/>
      <c r="AM51" s="431">
        <f t="shared" ca="1" si="0"/>
        <v>10975.8</v>
      </c>
      <c r="AN51" s="617">
        <f t="shared" ca="1" si="23"/>
        <v>99.78</v>
      </c>
    </row>
    <row r="52" spans="1:40" ht="5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4</v>
      </c>
      <c r="G52">
        <f t="shared" ca="1" si="6"/>
        <v>0</v>
      </c>
      <c r="H52">
        <f t="shared" ca="1" si="7"/>
        <v>0</v>
      </c>
      <c r="I52">
        <f t="shared" ca="1" si="8"/>
        <v>2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>F</v>
      </c>
      <c r="M52" s="145" t="s">
        <v>198</v>
      </c>
      <c r="N52" s="146" t="str">
        <f t="shared" ca="1" si="11"/>
        <v>Serviço</v>
      </c>
      <c r="O52" s="147" t="str">
        <f t="shared" ca="1" si="12"/>
        <v>1.4.2.</v>
      </c>
      <c r="P52" s="148" t="s">
        <v>246</v>
      </c>
      <c r="Q52" s="149" t="s">
        <v>464</v>
      </c>
      <c r="R52" s="150" t="str">
        <f t="shared" ca="1" si="24"/>
        <v>TELHAMENTO COM TELHA ONDULADA DE FIBROCIMENTO E = 6 MM, COM RECOBRIMENTO LATERAL DE 1/4 DE ONDA PARA TELHADO COM INCLINAÇÃO MAIOR QUE 10°, COM ATÉ 2 ÁGUAS, INCLUSO IÇAMENTO. AF_07/2019</v>
      </c>
      <c r="S52" s="151" t="str">
        <f t="shared" ca="1" si="13"/>
        <v>M2</v>
      </c>
      <c r="T52" s="152">
        <f ca="1">OFFSET(CÁLCULO!H$15,ROW($T52)-ROW(T$15),0)</f>
        <v>110</v>
      </c>
      <c r="U52" s="153">
        <v>30.2</v>
      </c>
      <c r="V52" s="154" t="s">
        <v>155</v>
      </c>
      <c r="W52" s="152">
        <f t="shared" ca="1" si="14"/>
        <v>38.39</v>
      </c>
      <c r="X52" s="155">
        <f t="shared" ca="1" si="15"/>
        <v>4222.8999999999996</v>
      </c>
      <c r="Y52" s="156" t="s">
        <v>244</v>
      </c>
      <c r="Z52" t="str">
        <f t="shared" ca="1" si="16"/>
        <v>RA</v>
      </c>
      <c r="AA52" s="157">
        <f ca="1">IF($C52="S",IF($Z52="CP",$X52,IF($Z52="RA",(($X52)*QCI!$AA$3),0)),SomaAgrup)</f>
        <v>4222.8999999999996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str">
        <f t="shared" ca="1" si="19"/>
        <v>SINAPI 94207</v>
      </c>
      <c r="AF52" s="160">
        <f t="shared" ca="1" si="20"/>
        <v>1257</v>
      </c>
      <c r="AG52" s="550">
        <f t="shared" ca="1" si="21"/>
        <v>31.92</v>
      </c>
      <c r="AH52" s="551">
        <f t="shared" ca="1" si="22"/>
        <v>0.27110000000000001</v>
      </c>
      <c r="AJ52" s="553">
        <v>110</v>
      </c>
      <c r="AL52" s="574"/>
      <c r="AM52" s="431">
        <f t="shared" ca="1" si="0"/>
        <v>4222.8999999999996</v>
      </c>
      <c r="AN52" s="617">
        <f t="shared" ca="1" si="23"/>
        <v>38.39</v>
      </c>
    </row>
    <row r="53" spans="1:40" ht="25.5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4</v>
      </c>
      <c r="G53">
        <f t="shared" ca="1" si="6"/>
        <v>0</v>
      </c>
      <c r="H53">
        <f t="shared" ca="1" si="7"/>
        <v>0</v>
      </c>
      <c r="I53">
        <f t="shared" ca="1" si="8"/>
        <v>3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>F</v>
      </c>
      <c r="M53" s="145" t="s">
        <v>198</v>
      </c>
      <c r="N53" s="146" t="str">
        <f t="shared" ca="1" si="11"/>
        <v>Serviço</v>
      </c>
      <c r="O53" s="147" t="str">
        <f t="shared" ca="1" si="12"/>
        <v>1.4.3.</v>
      </c>
      <c r="P53" s="148" t="s">
        <v>451</v>
      </c>
      <c r="Q53" s="149" t="s">
        <v>465</v>
      </c>
      <c r="R53" s="150" t="str">
        <f ca="1">IF($C53="S",REFERENCIA.Descricao,"(digite a descrição aqui)")</f>
        <v>CALHA QUADRADA DE CHAPA DE ACO GALVANIZADA NUM 24, CORTE 50 CM</v>
      </c>
      <c r="S53" s="151" t="str">
        <f t="shared" ca="1" si="13"/>
        <v xml:space="preserve">M     </v>
      </c>
      <c r="T53" s="152">
        <f ca="1">OFFSET(CÁLCULO!H$15,ROW($T53)-ROW(T$15),0)</f>
        <v>15</v>
      </c>
      <c r="U53" s="153">
        <v>30.08</v>
      </c>
      <c r="V53" s="154" t="s">
        <v>155</v>
      </c>
      <c r="W53" s="152">
        <f t="shared" ca="1" si="14"/>
        <v>38.229999999999997</v>
      </c>
      <c r="X53" s="155">
        <f t="shared" ca="1" si="15"/>
        <v>573.45000000000005</v>
      </c>
      <c r="Y53" s="156" t="s">
        <v>244</v>
      </c>
      <c r="Z53" t="str">
        <f t="shared" ca="1" si="16"/>
        <v>RA</v>
      </c>
      <c r="AA53" s="157">
        <f ca="1">IF($C53="S",IF($Z53="CP",$X53,IF($Z53="RA",(($X53)*QCI!$AA$3),0)),SomaAgrup)</f>
        <v>573.45000000000005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str">
        <f t="shared" ca="1" si="19"/>
        <v>SINAPI-I 40783</v>
      </c>
      <c r="AF53" s="160">
        <f t="shared" ca="1" si="20"/>
        <v>7366</v>
      </c>
      <c r="AG53" s="550">
        <f t="shared" ca="1" si="21"/>
        <v>30.08</v>
      </c>
      <c r="AH53" s="551">
        <f t="shared" ca="1" si="22"/>
        <v>0.27110000000000001</v>
      </c>
      <c r="AJ53" s="553">
        <v>15</v>
      </c>
      <c r="AL53" s="574"/>
      <c r="AM53" s="431">
        <f t="shared" ca="1" si="0"/>
        <v>573.45000000000005</v>
      </c>
      <c r="AN53" s="617">
        <f t="shared" ca="1" si="23"/>
        <v>38.229999999999997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4</v>
      </c>
      <c r="G54">
        <f t="shared" ca="1" si="6"/>
        <v>0</v>
      </c>
      <c r="H54">
        <f t="shared" ca="1" si="7"/>
        <v>0</v>
      </c>
      <c r="I54">
        <f t="shared" ca="1" si="8"/>
        <v>3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0.27110000000000001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t="25.5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4</v>
      </c>
      <c r="G55">
        <f t="shared" ca="1" si="6"/>
        <v>0</v>
      </c>
      <c r="H55">
        <f t="shared" ca="1" si="7"/>
        <v>0</v>
      </c>
      <c r="I55">
        <f t="shared" ca="1" si="8"/>
        <v>4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>F</v>
      </c>
      <c r="M55" s="145" t="s">
        <v>198</v>
      </c>
      <c r="N55" s="146" t="str">
        <f t="shared" ca="1" si="11"/>
        <v>Serviço</v>
      </c>
      <c r="O55" s="147" t="str">
        <f t="shared" ca="1" si="12"/>
        <v>1.4.4.</v>
      </c>
      <c r="P55" s="148" t="s">
        <v>246</v>
      </c>
      <c r="Q55" s="149" t="s">
        <v>466</v>
      </c>
      <c r="R55" s="150" t="str">
        <f t="shared" ca="1" si="24"/>
        <v>FORRO EM RÉGUAS DE PVC, LISO, PARA AMBIENTES RESIDENCIAIS, INCLUSIVE ESTRUTURA DE FIXAÇÃO. AF_05/2017_P</v>
      </c>
      <c r="S55" s="151" t="str">
        <f t="shared" ca="1" si="13"/>
        <v>M2</v>
      </c>
      <c r="T55" s="152">
        <f ca="1">OFFSET(CÁLCULO!H$15,ROW($T55)-ROW(T$15),0)</f>
        <v>103.5</v>
      </c>
      <c r="U55" s="153">
        <v>38.5</v>
      </c>
      <c r="V55" s="154" t="s">
        <v>155</v>
      </c>
      <c r="W55" s="152">
        <f t="shared" ca="1" si="14"/>
        <v>48.94</v>
      </c>
      <c r="X55" s="155">
        <f t="shared" ca="1" si="15"/>
        <v>5065.29</v>
      </c>
      <c r="Y55" s="156" t="s">
        <v>244</v>
      </c>
      <c r="Z55" t="str">
        <f t="shared" ca="1" si="16"/>
        <v>RA</v>
      </c>
      <c r="AA55" s="157">
        <f ca="1">IF($C55="S",IF($Z55="CP",$X55,IF($Z55="RA",(($X55)*QCI!$AA$3),0)),SomaAgrup)</f>
        <v>5065.29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str">
        <f t="shared" ca="1" si="19"/>
        <v>SINAPI 96485</v>
      </c>
      <c r="AF55" s="160">
        <f t="shared" ca="1" si="20"/>
        <v>5651</v>
      </c>
      <c r="AG55" s="550">
        <f t="shared" ca="1" si="21"/>
        <v>41.25</v>
      </c>
      <c r="AH55" s="551">
        <f t="shared" ca="1" si="22"/>
        <v>0.27110000000000001</v>
      </c>
      <c r="AJ55" s="553">
        <v>103.5</v>
      </c>
      <c r="AL55" s="574"/>
      <c r="AM55" s="431">
        <f t="shared" ca="1" si="0"/>
        <v>5065.29</v>
      </c>
      <c r="AN55" s="617">
        <f t="shared" ca="1" si="23"/>
        <v>48.94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4</v>
      </c>
      <c r="G56">
        <f t="shared" ca="1" si="6"/>
        <v>0</v>
      </c>
      <c r="H56">
        <f t="shared" ca="1" si="7"/>
        <v>0</v>
      </c>
      <c r="I56">
        <f t="shared" ca="1" si="8"/>
        <v>4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0.27110000000000001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4</v>
      </c>
      <c r="G57">
        <f t="shared" ca="1" si="6"/>
        <v>0</v>
      </c>
      <c r="H57">
        <f t="shared" ca="1" si="7"/>
        <v>0</v>
      </c>
      <c r="I57">
        <f t="shared" ca="1" si="8"/>
        <v>4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0.27110000000000001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4</v>
      </c>
      <c r="G58">
        <f t="shared" ca="1" si="6"/>
        <v>0</v>
      </c>
      <c r="H58">
        <f t="shared" ca="1" si="7"/>
        <v>0</v>
      </c>
      <c r="I58">
        <f t="shared" ca="1" si="8"/>
        <v>4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0.27110000000000001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4</v>
      </c>
      <c r="G59">
        <f t="shared" ca="1" si="6"/>
        <v>0</v>
      </c>
      <c r="H59">
        <f t="shared" ca="1" si="7"/>
        <v>0</v>
      </c>
      <c r="I59">
        <f t="shared" ca="1" si="8"/>
        <v>4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0.27110000000000001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x14ac:dyDescent="0.2">
      <c r="A60">
        <f t="shared" si="1"/>
        <v>2</v>
      </c>
      <c r="B60">
        <f t="shared" ca="1" si="2"/>
        <v>2</v>
      </c>
      <c r="C60">
        <f t="shared" ca="1" si="3"/>
        <v>2</v>
      </c>
      <c r="D60">
        <f t="shared" ca="1" si="4"/>
        <v>9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0</v>
      </c>
      <c r="J60">
        <f t="shared" ca="1" si="9"/>
        <v>206</v>
      </c>
      <c r="K60">
        <f ca="1">IF(OR($C60="S",$C60=0),0,MATCH(OFFSET($D60,0,$C60)+IF($C60&lt;&gt;1,1,COUNTIF(QCI!$A$13:$A$24,ORÇAMENTO!E60)),OFFSET($D60,1,$C60,ROW($C$266)-ROW($C60)),0))</f>
        <v>9</v>
      </c>
      <c r="L60" s="144" t="str">
        <f t="shared" ca="1" si="10"/>
        <v>F</v>
      </c>
      <c r="M60" s="145" t="s">
        <v>195</v>
      </c>
      <c r="N60" s="146" t="str">
        <f t="shared" ca="1" si="11"/>
        <v>Nível 2</v>
      </c>
      <c r="O60" s="147" t="str">
        <f t="shared" ca="1" si="12"/>
        <v>1.5.</v>
      </c>
      <c r="P60" s="148" t="s">
        <v>246</v>
      </c>
      <c r="Q60" s="149"/>
      <c r="R60" s="150" t="str">
        <f ca="1">IF($C60="S",REFERENCIA.Descricao,"REVESTIMENTOS DE PISOS")</f>
        <v>REVESTIMENTOS DE PISOS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7082.7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7082.7</v>
      </c>
      <c r="AB60" s="158">
        <f t="shared" ca="1" si="17"/>
        <v>0</v>
      </c>
      <c r="AC60" s="159" t="str">
        <f t="shared" ca="1" si="18"/>
        <v/>
      </c>
      <c r="AD60" s="105">
        <f ca="1">IF(C60&lt;=CRONO.NivelExibicao,MAX($AD$15:OFFSET(AD60,-1,0))+IF($C60&lt;&gt;1,1,MAX(1,COUNTIF(QCI!$A$13:$A$24,OFFSET($E60,-1,0)))),"")</f>
        <v>6</v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0.27110000000000001</v>
      </c>
      <c r="AJ60" s="553"/>
      <c r="AL60" s="574"/>
      <c r="AM60" s="431">
        <f t="shared" ca="1" si="0"/>
        <v>7082.7</v>
      </c>
      <c r="AN60" s="617">
        <f t="shared" ca="1" si="23"/>
        <v>0</v>
      </c>
    </row>
    <row r="61" spans="1:40" ht="38.25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>F</v>
      </c>
      <c r="M61" s="145" t="s">
        <v>198</v>
      </c>
      <c r="N61" s="146" t="str">
        <f t="shared" ca="1" si="11"/>
        <v>Serviço</v>
      </c>
      <c r="O61" s="147" t="str">
        <f t="shared" ca="1" si="12"/>
        <v>1.5.1.</v>
      </c>
      <c r="P61" s="148" t="s">
        <v>246</v>
      </c>
      <c r="Q61" s="149" t="s">
        <v>467</v>
      </c>
      <c r="R61" s="150" t="str">
        <f t="shared" ca="1" si="24"/>
        <v>REVESTIMENTO CERÂMICO PARA PISO COM PLACAS TIPO ESMALTADA EXTRA DE DIMENSÕES 35X35 CM APLICADA EM AMBIENTES DE ÁREA ENTRE 5 M2 E 10 M2. AF_06/2014</v>
      </c>
      <c r="S61" s="151" t="str">
        <f t="shared" ca="1" si="13"/>
        <v>M2</v>
      </c>
      <c r="T61" s="152">
        <f ca="1">OFFSET(CÁLCULO!H$15,ROW($T61)-ROW(T$15),0)</f>
        <v>85</v>
      </c>
      <c r="U61" s="153">
        <v>31.2</v>
      </c>
      <c r="V61" s="154" t="s">
        <v>155</v>
      </c>
      <c r="W61" s="152">
        <f t="shared" ca="1" si="14"/>
        <v>39.659999999999997</v>
      </c>
      <c r="X61" s="155">
        <f t="shared" ca="1" si="15"/>
        <v>3371.1</v>
      </c>
      <c r="Y61" s="156" t="s">
        <v>244</v>
      </c>
      <c r="Z61" t="str">
        <f t="shared" ca="1" si="16"/>
        <v>RA</v>
      </c>
      <c r="AA61" s="157">
        <f ca="1">IF($C61="S",IF($Z61="CP",$X61,IF($Z61="RA",(($X61)*QCI!$AA$3),0)),SomaAgrup)</f>
        <v>3371.1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str">
        <f t="shared" ca="1" si="19"/>
        <v>SINAPI 87247</v>
      </c>
      <c r="AF61" s="160">
        <f t="shared" ca="1" si="20"/>
        <v>5296</v>
      </c>
      <c r="AG61" s="550">
        <f t="shared" ca="1" si="21"/>
        <v>34.1</v>
      </c>
      <c r="AH61" s="551">
        <f t="shared" ca="1" si="22"/>
        <v>0.27110000000000001</v>
      </c>
      <c r="AJ61" s="553">
        <v>85</v>
      </c>
      <c r="AL61" s="574"/>
      <c r="AM61" s="431">
        <f t="shared" ca="1" si="0"/>
        <v>3371.1</v>
      </c>
      <c r="AN61" s="617">
        <f t="shared" ca="1" si="23"/>
        <v>39.659999999999997</v>
      </c>
    </row>
    <row r="62" spans="1:40" ht="25.5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2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>F</v>
      </c>
      <c r="M62" s="145" t="s">
        <v>198</v>
      </c>
      <c r="N62" s="146" t="str">
        <f t="shared" ca="1" si="11"/>
        <v>Serviço</v>
      </c>
      <c r="O62" s="147" t="str">
        <f t="shared" ca="1" si="12"/>
        <v>1.5.2.</v>
      </c>
      <c r="P62" s="148" t="s">
        <v>246</v>
      </c>
      <c r="Q62" s="149" t="s">
        <v>468</v>
      </c>
      <c r="R62" s="150" t="str">
        <f t="shared" ca="1" si="24"/>
        <v>ARGAMASSA TRAÇO 1:3 (EM VOLUME DE CIMENTO E AREIA MÉDIA ÚMIDA) PARA CONTRAPISO, PREPARO MANUAL. AF_08/2019</v>
      </c>
      <c r="S62" s="151" t="str">
        <f t="shared" ca="1" si="13"/>
        <v>M3</v>
      </c>
      <c r="T62" s="152">
        <f ca="1">OFFSET(CÁLCULO!H$15,ROW($T62)-ROW(T$15),0)</f>
        <v>6.08</v>
      </c>
      <c r="U62" s="153">
        <v>480.26</v>
      </c>
      <c r="V62" s="154" t="s">
        <v>155</v>
      </c>
      <c r="W62" s="152">
        <f t="shared" ca="1" si="14"/>
        <v>610.46</v>
      </c>
      <c r="X62" s="155">
        <f t="shared" ca="1" si="15"/>
        <v>3711.6</v>
      </c>
      <c r="Y62" s="156" t="s">
        <v>244</v>
      </c>
      <c r="Z62" t="str">
        <f t="shared" ca="1" si="16"/>
        <v>RA</v>
      </c>
      <c r="AA62" s="157">
        <f ca="1">IF($C62="S",IF($Z62="CP",$X62,IF($Z62="RA",(($X62)*QCI!$AA$3),0)),SomaAgrup)</f>
        <v>3711.6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str">
        <f t="shared" ca="1" si="19"/>
        <v>SINAPI 87372</v>
      </c>
      <c r="AF62" s="160">
        <f t="shared" ca="1" si="20"/>
        <v>5738</v>
      </c>
      <c r="AG62" s="550">
        <f t="shared" ca="1" si="21"/>
        <v>525.13</v>
      </c>
      <c r="AH62" s="551">
        <f t="shared" ca="1" si="22"/>
        <v>0.27110000000000001</v>
      </c>
      <c r="AJ62" s="553">
        <v>6.08</v>
      </c>
      <c r="AL62" s="574"/>
      <c r="AM62" s="431">
        <f t="shared" ca="1" si="0"/>
        <v>3711.6</v>
      </c>
      <c r="AN62" s="617">
        <f t="shared" ca="1" si="23"/>
        <v>610.46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2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0.27110000000000001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5</v>
      </c>
      <c r="G64">
        <f t="shared" ca="1" si="6"/>
        <v>0</v>
      </c>
      <c r="H64">
        <f t="shared" ca="1" si="7"/>
        <v>0</v>
      </c>
      <c r="I64">
        <f t="shared" ca="1" si="8"/>
        <v>2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0.27110000000000001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5</v>
      </c>
      <c r="G65">
        <f t="shared" ca="1" si="6"/>
        <v>0</v>
      </c>
      <c r="H65">
        <f t="shared" ca="1" si="7"/>
        <v>0</v>
      </c>
      <c r="I65">
        <f t="shared" ca="1" si="8"/>
        <v>2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0.27110000000000001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5</v>
      </c>
      <c r="G66">
        <f t="shared" ca="1" si="6"/>
        <v>0</v>
      </c>
      <c r="H66">
        <f t="shared" ca="1" si="7"/>
        <v>0</v>
      </c>
      <c r="I66">
        <f t="shared" ca="1" si="8"/>
        <v>2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0.27110000000000001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5</v>
      </c>
      <c r="G67">
        <f t="shared" ca="1" si="6"/>
        <v>0</v>
      </c>
      <c r="H67">
        <f t="shared" ca="1" si="7"/>
        <v>0</v>
      </c>
      <c r="I67">
        <f t="shared" ca="1" si="8"/>
        <v>2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0.27110000000000001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5</v>
      </c>
      <c r="G68">
        <f t="shared" ca="1" si="6"/>
        <v>0</v>
      </c>
      <c r="H68">
        <f t="shared" ca="1" si="7"/>
        <v>0</v>
      </c>
      <c r="I68">
        <f t="shared" ca="1" si="8"/>
        <v>2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0.27110000000000001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x14ac:dyDescent="0.2">
      <c r="A69">
        <f t="shared" si="1"/>
        <v>2</v>
      </c>
      <c r="B69">
        <f t="shared" ca="1" si="2"/>
        <v>2</v>
      </c>
      <c r="C69">
        <f t="shared" ca="1" si="3"/>
        <v>2</v>
      </c>
      <c r="D69">
        <f t="shared" ca="1" si="4"/>
        <v>5</v>
      </c>
      <c r="E69">
        <f ca="1">IF($C69=1,OFFSET(E69,-1,0)+MAX(1,COUNTIF(QCI!$A$13:$A$24,OFFSET(ORÇAMENTO!E69,-1,0))),OFFSET(E69,-1,0))</f>
        <v>1</v>
      </c>
      <c r="F69">
        <f t="shared" ca="1" si="5"/>
        <v>6</v>
      </c>
      <c r="G69">
        <f t="shared" ca="1" si="6"/>
        <v>0</v>
      </c>
      <c r="H69">
        <f t="shared" ca="1" si="7"/>
        <v>0</v>
      </c>
      <c r="I69">
        <f t="shared" ca="1" si="8"/>
        <v>0</v>
      </c>
      <c r="J69">
        <f t="shared" ca="1" si="9"/>
        <v>197</v>
      </c>
      <c r="K69">
        <f ca="1">IF(OR($C69="S",$C69=0),0,MATCH(OFFSET($D69,0,$C69)+IF($C69&lt;&gt;1,1,COUNTIF(QCI!$A$13:$A$24,ORÇAMENTO!E69)),OFFSET($D69,1,$C69,ROW($C$266)-ROW($C69)),0))</f>
        <v>5</v>
      </c>
      <c r="L69" s="144" t="str">
        <f t="shared" ca="1" si="10"/>
        <v>F</v>
      </c>
      <c r="M69" s="145" t="s">
        <v>195</v>
      </c>
      <c r="N69" s="146" t="str">
        <f t="shared" ca="1" si="11"/>
        <v>Nível 2</v>
      </c>
      <c r="O69" s="147" t="str">
        <f t="shared" ca="1" si="12"/>
        <v>1.6.</v>
      </c>
      <c r="P69" s="148" t="s">
        <v>246</v>
      </c>
      <c r="Q69" s="149"/>
      <c r="R69" s="150" t="str">
        <f ca="1">IF($C69="S",REFERENCIA.Descricao,"REVESTIMENTOS DE PAREDES")</f>
        <v>REVESTIMENTOS DE PAREDES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17896.150000000001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17896.150000000001</v>
      </c>
      <c r="AB69" s="158">
        <f t="shared" ca="1" si="17"/>
        <v>0</v>
      </c>
      <c r="AC69" s="159" t="str">
        <f t="shared" ca="1" si="18"/>
        <v/>
      </c>
      <c r="AD69" s="105">
        <f ca="1">IF(C69&lt;=CRONO.NivelExibicao,MAX($AD$15:OFFSET(AD69,-1,0))+IF($C69&lt;&gt;1,1,MAX(1,COUNTIF(QCI!$A$13:$A$24,OFFSET($E69,-1,0)))),"")</f>
        <v>7</v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0.27110000000000001</v>
      </c>
      <c r="AJ69" s="553"/>
      <c r="AL69" s="574"/>
      <c r="AM69" s="431">
        <f t="shared" ca="1" si="0"/>
        <v>17896.150000000001</v>
      </c>
      <c r="AN69" s="617">
        <f t="shared" ca="1" si="23"/>
        <v>0</v>
      </c>
    </row>
    <row r="70" spans="1:40" ht="5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6</v>
      </c>
      <c r="G70">
        <f t="shared" ca="1" si="6"/>
        <v>0</v>
      </c>
      <c r="H70">
        <f t="shared" ca="1" si="7"/>
        <v>0</v>
      </c>
      <c r="I70">
        <f t="shared" ca="1" si="8"/>
        <v>1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>F</v>
      </c>
      <c r="M70" s="145" t="s">
        <v>198</v>
      </c>
      <c r="N70" s="146" t="str">
        <f t="shared" ca="1" si="11"/>
        <v>Serviço</v>
      </c>
      <c r="O70" s="147" t="str">
        <f t="shared" ca="1" si="12"/>
        <v>1.6.1.</v>
      </c>
      <c r="P70" s="148" t="s">
        <v>246</v>
      </c>
      <c r="Q70" s="149" t="s">
        <v>469</v>
      </c>
      <c r="R70" s="150" t="str">
        <f t="shared" ca="1" si="24"/>
        <v>REVESTIMENTO CERÂMICO PARA PAREDES INTERNAS COM PLACAS TIPO ESMALTADA EXTRA DE DIMENSÕES 20X20 CM APLICADAS EM AMBIENTES DE ÁREA MAIOR QUE 5 M² NA ALTURA INTEIRA DAS PAREDES. AF_06/2014</v>
      </c>
      <c r="S70" s="151" t="str">
        <f t="shared" ca="1" si="13"/>
        <v>M2</v>
      </c>
      <c r="T70" s="152">
        <f ca="1">OFFSET(CÁLCULO!H$15,ROW($T70)-ROW(T$15),0)</f>
        <v>62.3</v>
      </c>
      <c r="U70" s="153">
        <v>36.200000000000003</v>
      </c>
      <c r="V70" s="154" t="s">
        <v>155</v>
      </c>
      <c r="W70" s="152">
        <f t="shared" ca="1" si="14"/>
        <v>46.01</v>
      </c>
      <c r="X70" s="155">
        <f t="shared" ca="1" si="15"/>
        <v>2866.42</v>
      </c>
      <c r="Y70" s="156" t="s">
        <v>244</v>
      </c>
      <c r="Z70" t="str">
        <f t="shared" ca="1" si="16"/>
        <v>RA</v>
      </c>
      <c r="AA70" s="157">
        <f ca="1">IF($C70="S",IF($Z70="CP",$X70,IF($Z70="RA",(($X70)*QCI!$AA$3),0)),SomaAgrup)</f>
        <v>2866.42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str">
        <f t="shared" ca="1" si="19"/>
        <v>SINAPI 87265</v>
      </c>
      <c r="AF70" s="160">
        <f t="shared" ca="1" si="20"/>
        <v>5609</v>
      </c>
      <c r="AG70" s="550">
        <f t="shared" ca="1" si="21"/>
        <v>38.880000000000003</v>
      </c>
      <c r="AH70" s="551">
        <f t="shared" ca="1" si="22"/>
        <v>0.27110000000000001</v>
      </c>
      <c r="AJ70" s="553">
        <v>62.3</v>
      </c>
      <c r="AL70" s="574"/>
      <c r="AM70" s="431">
        <f t="shared" ca="1" si="0"/>
        <v>2866.42</v>
      </c>
      <c r="AN70" s="617">
        <f t="shared" ca="1" si="23"/>
        <v>46.01</v>
      </c>
    </row>
    <row r="71" spans="1:40" ht="25.5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6</v>
      </c>
      <c r="G71">
        <f t="shared" ca="1" si="6"/>
        <v>0</v>
      </c>
      <c r="H71">
        <f t="shared" ca="1" si="7"/>
        <v>0</v>
      </c>
      <c r="I71">
        <f t="shared" ca="1" si="8"/>
        <v>2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>F</v>
      </c>
      <c r="M71" s="145" t="s">
        <v>198</v>
      </c>
      <c r="N71" s="146" t="str">
        <f t="shared" ca="1" si="11"/>
        <v>Serviço</v>
      </c>
      <c r="O71" s="147" t="str">
        <f t="shared" ca="1" si="12"/>
        <v>1.6.2.</v>
      </c>
      <c r="P71" s="148" t="s">
        <v>246</v>
      </c>
      <c r="Q71" s="149" t="s">
        <v>470</v>
      </c>
      <c r="R71" s="150" t="str">
        <f t="shared" ca="1" si="24"/>
        <v>APLICAÇÃO MANUAL DE MASSA ACRÍLICA EM PAREDES EXTERNAS DE CASAS, UMA DEMÃO. AF_05/2017</v>
      </c>
      <c r="S71" s="151" t="str">
        <f t="shared" ca="1" si="13"/>
        <v>M2</v>
      </c>
      <c r="T71" s="152">
        <f ca="1">OFFSET(CÁLCULO!H$15,ROW($T71)-ROW(T$15),0)</f>
        <v>469.7</v>
      </c>
      <c r="U71" s="153">
        <v>15.2</v>
      </c>
      <c r="V71" s="154" t="s">
        <v>155</v>
      </c>
      <c r="W71" s="152">
        <f t="shared" ca="1" si="14"/>
        <v>19.32</v>
      </c>
      <c r="X71" s="155">
        <f t="shared" ca="1" si="15"/>
        <v>9074.6</v>
      </c>
      <c r="Y71" s="156" t="s">
        <v>244</v>
      </c>
      <c r="Z71" t="str">
        <f t="shared" ca="1" si="16"/>
        <v>RA</v>
      </c>
      <c r="AA71" s="157">
        <f ca="1">IF($C71="S",IF($Z71="CP",$X71,IF($Z71="RA",(($X71)*QCI!$AA$3),0)),SomaAgrup)</f>
        <v>9074.6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str">
        <f t="shared" ca="1" si="19"/>
        <v>SINAPI 96130</v>
      </c>
      <c r="AF71" s="160">
        <f t="shared" ca="1" si="20"/>
        <v>5222</v>
      </c>
      <c r="AG71" s="550">
        <f t="shared" ca="1" si="21"/>
        <v>17.72</v>
      </c>
      <c r="AH71" s="551">
        <f t="shared" ca="1" si="22"/>
        <v>0.27110000000000001</v>
      </c>
      <c r="AJ71" s="553">
        <v>469.7</v>
      </c>
      <c r="AL71" s="574"/>
      <c r="AM71" s="431">
        <f t="shared" ca="1" si="0"/>
        <v>9074.6</v>
      </c>
      <c r="AN71" s="617">
        <f t="shared" ca="1" si="23"/>
        <v>19.32</v>
      </c>
    </row>
    <row r="72" spans="1:40" ht="25.5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6</v>
      </c>
      <c r="G72">
        <f t="shared" ca="1" si="6"/>
        <v>0</v>
      </c>
      <c r="H72">
        <f t="shared" ca="1" si="7"/>
        <v>0</v>
      </c>
      <c r="I72">
        <f t="shared" ca="1" si="8"/>
        <v>3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>F</v>
      </c>
      <c r="M72" s="145" t="s">
        <v>198</v>
      </c>
      <c r="N72" s="146" t="str">
        <f t="shared" ca="1" si="11"/>
        <v>Serviço</v>
      </c>
      <c r="O72" s="147" t="str">
        <f t="shared" ca="1" si="12"/>
        <v>1.6.3.</v>
      </c>
      <c r="P72" s="148" t="s">
        <v>246</v>
      </c>
      <c r="Q72" s="149" t="s">
        <v>471</v>
      </c>
      <c r="R72" s="150" t="str">
        <f t="shared" ca="1" si="24"/>
        <v>APLICAÇÃO MANUAL DE PINTURA COM TINTA LÁTEX PVA EM PAREDES, DUAS DEMÃOS. AF_06/2014</v>
      </c>
      <c r="S72" s="151" t="str">
        <f t="shared" ca="1" si="13"/>
        <v>M2</v>
      </c>
      <c r="T72" s="152">
        <f ca="1">OFFSET(CÁLCULO!H$15,ROW($T72)-ROW(T$15),0)</f>
        <v>261</v>
      </c>
      <c r="U72" s="153">
        <v>9.15</v>
      </c>
      <c r="V72" s="154" t="s">
        <v>155</v>
      </c>
      <c r="W72" s="152">
        <f t="shared" ca="1" si="14"/>
        <v>11.63</v>
      </c>
      <c r="X72" s="155">
        <f t="shared" ca="1" si="15"/>
        <v>3035.43</v>
      </c>
      <c r="Y72" s="156" t="s">
        <v>244</v>
      </c>
      <c r="Z72" t="str">
        <f t="shared" ca="1" si="16"/>
        <v>RA</v>
      </c>
      <c r="AA72" s="157">
        <f ca="1">IF($C72="S",IF($Z72="CP",$X72,IF($Z72="RA",(($X72)*QCI!$AA$3),0)),SomaAgrup)</f>
        <v>3035.43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str">
        <f t="shared" ca="1" si="19"/>
        <v>SINAPI 88487</v>
      </c>
      <c r="AF72" s="160">
        <f t="shared" ca="1" si="20"/>
        <v>5200</v>
      </c>
      <c r="AG72" s="550">
        <f t="shared" ca="1" si="21"/>
        <v>9.15</v>
      </c>
      <c r="AH72" s="551">
        <f t="shared" ca="1" si="22"/>
        <v>0.27110000000000001</v>
      </c>
      <c r="AJ72" s="553">
        <v>261</v>
      </c>
      <c r="AL72" s="574"/>
      <c r="AM72" s="431">
        <f t="shared" ca="1" si="0"/>
        <v>3035.43</v>
      </c>
      <c r="AN72" s="617">
        <f t="shared" ca="1" si="23"/>
        <v>11.63</v>
      </c>
    </row>
    <row r="73" spans="1:40" ht="25.5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6</v>
      </c>
      <c r="G73">
        <f t="shared" ca="1" si="6"/>
        <v>0</v>
      </c>
      <c r="H73">
        <f t="shared" ca="1" si="7"/>
        <v>0</v>
      </c>
      <c r="I73">
        <f t="shared" ca="1" si="8"/>
        <v>4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>F</v>
      </c>
      <c r="M73" s="145" t="s">
        <v>198</v>
      </c>
      <c r="N73" s="146" t="str">
        <f t="shared" ca="1" si="11"/>
        <v>Serviço</v>
      </c>
      <c r="O73" s="147" t="str">
        <f t="shared" ca="1" si="12"/>
        <v>1.6.4.</v>
      </c>
      <c r="P73" s="148" t="s">
        <v>246</v>
      </c>
      <c r="Q73" s="149" t="s">
        <v>472</v>
      </c>
      <c r="R73" s="150" t="str">
        <f t="shared" ca="1" si="24"/>
        <v>APLICAÇÃO MANUAL DE PINTURA COM TINTA LÁTEX ACRÍLICA EM PAREDES, DUAS DEMÃOS. AF_06/2014</v>
      </c>
      <c r="S73" s="151" t="str">
        <f t="shared" ca="1" si="13"/>
        <v>M2</v>
      </c>
      <c r="T73" s="152">
        <f ca="1">OFFSET(CÁLCULO!H$15,ROW($T73)-ROW(T$15),0)</f>
        <v>215</v>
      </c>
      <c r="U73" s="153">
        <v>10.68</v>
      </c>
      <c r="V73" s="154" t="s">
        <v>155</v>
      </c>
      <c r="W73" s="152">
        <f t="shared" ca="1" si="14"/>
        <v>13.58</v>
      </c>
      <c r="X73" s="155">
        <f t="shared" ca="1" si="15"/>
        <v>2919.7</v>
      </c>
      <c r="Y73" s="156" t="s">
        <v>244</v>
      </c>
      <c r="Z73" t="str">
        <f t="shared" ca="1" si="16"/>
        <v>RA</v>
      </c>
      <c r="AA73" s="157">
        <f ca="1">IF($C73="S",IF($Z73="CP",$X73,IF($Z73="RA",(($X73)*QCI!$AA$3),0)),SomaAgrup)</f>
        <v>2919.7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str">
        <f t="shared" ca="1" si="19"/>
        <v>SINAPI 88489</v>
      </c>
      <c r="AF73" s="160">
        <f t="shared" ca="1" si="20"/>
        <v>5202</v>
      </c>
      <c r="AG73" s="550">
        <f t="shared" ca="1" si="21"/>
        <v>11.68</v>
      </c>
      <c r="AH73" s="551">
        <f t="shared" ca="1" si="22"/>
        <v>0.27110000000000001</v>
      </c>
      <c r="AJ73" s="553">
        <v>215</v>
      </c>
      <c r="AL73" s="574"/>
      <c r="AM73" s="431">
        <f t="shared" ca="1" si="0"/>
        <v>2919.7</v>
      </c>
      <c r="AN73" s="617">
        <f t="shared" ca="1" si="23"/>
        <v>13.58</v>
      </c>
    </row>
    <row r="74" spans="1:40" x14ac:dyDescent="0.2">
      <c r="A74">
        <f t="shared" si="1"/>
        <v>2</v>
      </c>
      <c r="B74">
        <f t="shared" ca="1" si="2"/>
        <v>2</v>
      </c>
      <c r="C74">
        <f t="shared" ca="1" si="3"/>
        <v>2</v>
      </c>
      <c r="D74">
        <f t="shared" ca="1" si="4"/>
        <v>11</v>
      </c>
      <c r="E74">
        <f ca="1">IF($C74=1,OFFSET(E74,-1,0)+MAX(1,COUNTIF(QCI!$A$13:$A$24,OFFSET(ORÇAMENTO!E74,-1,0))),OFFSET(E74,-1,0))</f>
        <v>1</v>
      </c>
      <c r="F74">
        <f t="shared" ca="1" si="5"/>
        <v>7</v>
      </c>
      <c r="G74">
        <f t="shared" ca="1" si="6"/>
        <v>0</v>
      </c>
      <c r="H74">
        <f t="shared" ca="1" si="7"/>
        <v>0</v>
      </c>
      <c r="I74">
        <f t="shared" ca="1" si="8"/>
        <v>0</v>
      </c>
      <c r="J74">
        <f t="shared" ca="1" si="9"/>
        <v>192</v>
      </c>
      <c r="K74">
        <f ca="1">IF(OR($C74="S",$C74=0),0,MATCH(OFFSET($D74,0,$C74)+IF($C74&lt;&gt;1,1,COUNTIF(QCI!$A$13:$A$24,ORÇAMENTO!E74)),OFFSET($D74,1,$C74,ROW($C$266)-ROW($C74)),0))</f>
        <v>11</v>
      </c>
      <c r="L74" s="144" t="str">
        <f t="shared" ca="1" si="10"/>
        <v>F</v>
      </c>
      <c r="M74" s="145" t="s">
        <v>195</v>
      </c>
      <c r="N74" s="146" t="str">
        <f t="shared" ca="1" si="11"/>
        <v>Nível 2</v>
      </c>
      <c r="O74" s="147" t="str">
        <f t="shared" ca="1" si="12"/>
        <v>1.7.</v>
      </c>
      <c r="P74" s="148" t="s">
        <v>246</v>
      </c>
      <c r="Q74" s="149"/>
      <c r="R74" s="150" t="str">
        <f ca="1">IF($C74="S",REFERENCIA.Descricao,"ELETRICA")</f>
        <v>ELETRICA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5367.57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5367.57</v>
      </c>
      <c r="AB74" s="158">
        <f t="shared" ca="1" si="17"/>
        <v>0</v>
      </c>
      <c r="AC74" s="159" t="str">
        <f t="shared" ca="1" si="18"/>
        <v/>
      </c>
      <c r="AD74" s="105">
        <f ca="1">IF(C74&lt;=CRONO.NivelExibicao,MAX($AD$15:OFFSET(AD74,-1,0))+IF($C74&lt;&gt;1,1,MAX(1,COUNTIF(QCI!$A$13:$A$24,OFFSET($E74,-1,0)))),"")</f>
        <v>8</v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0.27110000000000001</v>
      </c>
      <c r="AJ74" s="553"/>
      <c r="AL74" s="574"/>
      <c r="AM74" s="431">
        <f t="shared" ca="1" si="0"/>
        <v>5367.57</v>
      </c>
      <c r="AN74" s="617">
        <f t="shared" ca="1" si="23"/>
        <v>0</v>
      </c>
    </row>
    <row r="75" spans="1:40" ht="25.5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7</v>
      </c>
      <c r="G75">
        <f t="shared" ca="1" si="6"/>
        <v>0</v>
      </c>
      <c r="H75">
        <f t="shared" ca="1" si="7"/>
        <v>0</v>
      </c>
      <c r="I75">
        <f t="shared" ca="1" si="8"/>
        <v>1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>F</v>
      </c>
      <c r="M75" s="145" t="s">
        <v>198</v>
      </c>
      <c r="N75" s="146" t="str">
        <f t="shared" ca="1" si="11"/>
        <v>Serviço</v>
      </c>
      <c r="O75" s="147" t="str">
        <f t="shared" ca="1" si="12"/>
        <v>1.7.1.</v>
      </c>
      <c r="P75" s="148" t="s">
        <v>246</v>
      </c>
      <c r="Q75" s="149" t="s">
        <v>497</v>
      </c>
      <c r="R75" s="150" t="str">
        <f t="shared" ca="1" si="24"/>
        <v>CABO DE COBRE FLEXÍVEL ISOLADO, 10 MM², ANTI-CHAMA 450/750 V, PARA DISTRIBUIÇÃO - FORNECIMENTO E INSTALAÇÃO. AF_12/2015</v>
      </c>
      <c r="S75" s="151" t="str">
        <f t="shared" ca="1" si="13"/>
        <v>M</v>
      </c>
      <c r="T75" s="152">
        <f ca="1">OFFSET(CÁLCULO!H$15,ROW($T75)-ROW(T$15),0)</f>
        <v>60</v>
      </c>
      <c r="U75" s="153">
        <v>5.59</v>
      </c>
      <c r="V75" s="154" t="s">
        <v>155</v>
      </c>
      <c r="W75" s="152">
        <f t="shared" ca="1" si="14"/>
        <v>7.11</v>
      </c>
      <c r="X75" s="155">
        <f t="shared" ca="1" si="15"/>
        <v>426.6</v>
      </c>
      <c r="Y75" s="156" t="s">
        <v>244</v>
      </c>
      <c r="Z75" t="str">
        <f t="shared" ca="1" si="16"/>
        <v>RA</v>
      </c>
      <c r="AA75" s="157">
        <f ca="1">IF($C75="S",IF($Z75="CP",$X75,IF($Z75="RA",(($X75)*QCI!$AA$3),0)),SomaAgrup)</f>
        <v>426.6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str">
        <f t="shared" ca="1" si="19"/>
        <v>SINAPI 92979</v>
      </c>
      <c r="AF75" s="160">
        <f t="shared" ca="1" si="20"/>
        <v>2550</v>
      </c>
      <c r="AG75" s="550">
        <f t="shared" ca="1" si="21"/>
        <v>5.59</v>
      </c>
      <c r="AH75" s="551">
        <f t="shared" ca="1" si="22"/>
        <v>0.27110000000000001</v>
      </c>
      <c r="AJ75" s="553">
        <v>60</v>
      </c>
      <c r="AL75" s="574"/>
      <c r="AM75" s="431">
        <f t="shared" ca="1" si="0"/>
        <v>426.6</v>
      </c>
      <c r="AN75" s="617">
        <f t="shared" ca="1" si="23"/>
        <v>7.11</v>
      </c>
    </row>
    <row r="76" spans="1:40" ht="38.25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7</v>
      </c>
      <c r="G76">
        <f t="shared" ca="1" si="6"/>
        <v>0</v>
      </c>
      <c r="H76">
        <f t="shared" ca="1" si="7"/>
        <v>0</v>
      </c>
      <c r="I76">
        <f t="shared" ca="1" si="8"/>
        <v>2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>F</v>
      </c>
      <c r="M76" s="145" t="s">
        <v>198</v>
      </c>
      <c r="N76" s="146" t="str">
        <f t="shared" ca="1" si="11"/>
        <v>Serviço</v>
      </c>
      <c r="O76" s="147" t="str">
        <f t="shared" ca="1" si="12"/>
        <v>1.7.2.</v>
      </c>
      <c r="P76" s="148" t="s">
        <v>451</v>
      </c>
      <c r="Q76" s="149" t="s">
        <v>498</v>
      </c>
      <c r="R76" s="150" t="str">
        <f t="shared" ca="1" si="24"/>
        <v>QUADRO DE DISTRIBUICAO COM BARRAMENTO TRIFASICO, DE EMBUTIR, EM CHAPA DE ACO GALVANIZADO, PARA 12 DISJUNTORES DIN, 100 A</v>
      </c>
      <c r="S76" s="151" t="str">
        <f t="shared" ca="1" si="13"/>
        <v xml:space="preserve">UN    </v>
      </c>
      <c r="T76" s="152">
        <f ca="1">OFFSET(CÁLCULO!H$15,ROW($T76)-ROW(T$15),0)</f>
        <v>1</v>
      </c>
      <c r="U76" s="153">
        <v>222.54</v>
      </c>
      <c r="V76" s="154" t="s">
        <v>155</v>
      </c>
      <c r="W76" s="152">
        <f t="shared" ca="1" si="14"/>
        <v>282.87</v>
      </c>
      <c r="X76" s="155">
        <f t="shared" ca="1" si="15"/>
        <v>282.87</v>
      </c>
      <c r="Y76" s="156" t="s">
        <v>244</v>
      </c>
      <c r="Z76" t="str">
        <f t="shared" ca="1" si="16"/>
        <v>RA</v>
      </c>
      <c r="AA76" s="157">
        <f ca="1">IF($C76="S",IF($Z76="CP",$X76,IF($Z76="RA",(($X76)*QCI!$AA$3),0)),SomaAgrup)</f>
        <v>282.87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str">
        <f t="shared" ca="1" si="19"/>
        <v>SINAPI-I 13393</v>
      </c>
      <c r="AF76" s="160">
        <f t="shared" ca="1" si="20"/>
        <v>10246</v>
      </c>
      <c r="AG76" s="550">
        <f t="shared" ca="1" si="21"/>
        <v>222.54</v>
      </c>
      <c r="AH76" s="551">
        <f t="shared" ca="1" si="22"/>
        <v>0.27110000000000001</v>
      </c>
      <c r="AJ76" s="553">
        <v>1</v>
      </c>
      <c r="AL76" s="574"/>
      <c r="AM76" s="431">
        <f t="shared" ca="1" si="0"/>
        <v>282.87</v>
      </c>
      <c r="AN76" s="617">
        <f t="shared" ca="1" si="23"/>
        <v>282.87</v>
      </c>
    </row>
    <row r="77" spans="1:40" ht="25.5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7</v>
      </c>
      <c r="G77">
        <f t="shared" ca="1" si="6"/>
        <v>0</v>
      </c>
      <c r="H77">
        <f t="shared" ca="1" si="7"/>
        <v>0</v>
      </c>
      <c r="I77">
        <f t="shared" ca="1" si="8"/>
        <v>3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>F</v>
      </c>
      <c r="M77" s="145" t="s">
        <v>198</v>
      </c>
      <c r="N77" s="146" t="str">
        <f t="shared" ca="1" si="11"/>
        <v>Serviço</v>
      </c>
      <c r="O77" s="147" t="str">
        <f t="shared" ca="1" si="12"/>
        <v>1.7.3.</v>
      </c>
      <c r="P77" s="148" t="s">
        <v>451</v>
      </c>
      <c r="Q77" s="149" t="s">
        <v>499</v>
      </c>
      <c r="R77" s="150" t="str">
        <f ca="1">IF($C77="S",REFERENCIA.Descricao,"ELETRICA")</f>
        <v>ELETRODUTO FLEXIVEL PLANO EM PEAD, COR PRETA E LARANJA, DIAMETRO 25 MM</v>
      </c>
      <c r="S77" s="151" t="str">
        <f t="shared" ca="1" si="13"/>
        <v xml:space="preserve">M     </v>
      </c>
      <c r="T77" s="152">
        <f ca="1">OFFSET(CÁLCULO!H$15,ROW($T77)-ROW(T$15),0)</f>
        <v>200</v>
      </c>
      <c r="U77" s="153">
        <v>1.42</v>
      </c>
      <c r="V77" s="154" t="s">
        <v>155</v>
      </c>
      <c r="W77" s="152">
        <f t="shared" ca="1" si="14"/>
        <v>1.8</v>
      </c>
      <c r="X77" s="155">
        <f t="shared" ca="1" si="15"/>
        <v>360</v>
      </c>
      <c r="Y77" s="156" t="s">
        <v>244</v>
      </c>
      <c r="Z77" t="str">
        <f t="shared" ca="1" si="16"/>
        <v>RA</v>
      </c>
      <c r="AA77" s="157">
        <f ca="1">IF($C77="S",IF($Z77="CP",$X77,IF($Z77="RA",(($X77)*QCI!$AA$3),0)),SomaAgrup)</f>
        <v>360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str">
        <f t="shared" ca="1" si="19"/>
        <v>SINAPI-I 40400</v>
      </c>
      <c r="AF77" s="160">
        <f t="shared" ca="1" si="20"/>
        <v>8330</v>
      </c>
      <c r="AG77" s="550">
        <f t="shared" ca="1" si="21"/>
        <v>1.42</v>
      </c>
      <c r="AH77" s="551">
        <f t="shared" ca="1" si="22"/>
        <v>0.27110000000000001</v>
      </c>
      <c r="AJ77" s="553">
        <v>200</v>
      </c>
      <c r="AL77" s="574"/>
      <c r="AM77" s="431">
        <f t="shared" ca="1" si="0"/>
        <v>360</v>
      </c>
      <c r="AN77" s="617">
        <f t="shared" ca="1" si="23"/>
        <v>1.8</v>
      </c>
    </row>
    <row r="78" spans="1:40" ht="25.5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7</v>
      </c>
      <c r="G78">
        <f t="shared" ca="1" si="6"/>
        <v>0</v>
      </c>
      <c r="H78">
        <f t="shared" ca="1" si="7"/>
        <v>0</v>
      </c>
      <c r="I78">
        <f t="shared" ca="1" si="8"/>
        <v>4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>F</v>
      </c>
      <c r="M78" s="145" t="s">
        <v>198</v>
      </c>
      <c r="N78" s="146" t="str">
        <f t="shared" ca="1" si="11"/>
        <v>Serviço</v>
      </c>
      <c r="O78" s="147" t="str">
        <f t="shared" ca="1" si="12"/>
        <v>1.7.4.</v>
      </c>
      <c r="P78" s="148" t="s">
        <v>246</v>
      </c>
      <c r="Q78" s="149" t="s">
        <v>476</v>
      </c>
      <c r="R78" s="150" t="str">
        <f t="shared" ca="1" si="24"/>
        <v>CHUVEIRO ELÉTRICO COMUM CORPO PLÁSTICO, TIPO DUCHA  FORNECIMENTO E INSTALAÇÃO. AF_01/2020</v>
      </c>
      <c r="S78" s="151" t="str">
        <f t="shared" ca="1" si="13"/>
        <v>UN</v>
      </c>
      <c r="T78" s="152">
        <f ca="1">OFFSET(CÁLCULO!H$15,ROW($T78)-ROW(T$15),0)</f>
        <v>3</v>
      </c>
      <c r="U78" s="153">
        <v>72.16</v>
      </c>
      <c r="V78" s="154" t="s">
        <v>155</v>
      </c>
      <c r="W78" s="152">
        <f t="shared" ca="1" si="14"/>
        <v>91.72</v>
      </c>
      <c r="X78" s="155">
        <f t="shared" ca="1" si="15"/>
        <v>275.16000000000003</v>
      </c>
      <c r="Y78" s="156" t="s">
        <v>244</v>
      </c>
      <c r="Z78" t="str">
        <f t="shared" ca="1" si="16"/>
        <v>RA</v>
      </c>
      <c r="AA78" s="157">
        <f ca="1">IF($C78="S",IF($Z78="CP",$X78,IF($Z78="RA",(($X78)*QCI!$AA$3),0)),SomaAgrup)</f>
        <v>275.16000000000003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str">
        <f t="shared" ca="1" si="19"/>
        <v>SINAPI 100860</v>
      </c>
      <c r="AF78" s="160">
        <f t="shared" ca="1" si="20"/>
        <v>4456</v>
      </c>
      <c r="AG78" s="550">
        <f t="shared" ca="1" si="21"/>
        <v>72.16</v>
      </c>
      <c r="AH78" s="551">
        <f t="shared" ca="1" si="22"/>
        <v>0.27110000000000001</v>
      </c>
      <c r="AJ78" s="553">
        <v>3</v>
      </c>
      <c r="AL78" s="574"/>
      <c r="AM78" s="431">
        <f ca="1">$X78</f>
        <v>275.16000000000003</v>
      </c>
      <c r="AN78" s="617">
        <f t="shared" ca="1" si="23"/>
        <v>91.72</v>
      </c>
    </row>
    <row r="79" spans="1:40" ht="38.25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7</v>
      </c>
      <c r="G79">
        <f t="shared" ca="1" si="6"/>
        <v>0</v>
      </c>
      <c r="H79">
        <f t="shared" ca="1" si="7"/>
        <v>0</v>
      </c>
      <c r="I79">
        <f t="shared" ca="1" si="8"/>
        <v>5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>F</v>
      </c>
      <c r="M79" s="145" t="s">
        <v>198</v>
      </c>
      <c r="N79" s="146" t="str">
        <f t="shared" ca="1" si="11"/>
        <v>Serviço</v>
      </c>
      <c r="O79" s="147" t="str">
        <f t="shared" ca="1" si="12"/>
        <v>1.7.5.</v>
      </c>
      <c r="P79" s="148" t="s">
        <v>246</v>
      </c>
      <c r="Q79" s="149" t="s">
        <v>479</v>
      </c>
      <c r="R79" s="150" t="str">
        <f t="shared" ca="1" si="24"/>
        <v>CABO DE COBRE FLEXÍVEL ISOLADO, 2,5 MM², ANTI-CHAMA 450/750 V, PARA CIRCUITOS TERMINAIS - FORNECIMENTO E INSTALAÇÃO. AF_12/2015</v>
      </c>
      <c r="S79" s="151" t="str">
        <f t="shared" ca="1" si="13"/>
        <v>M</v>
      </c>
      <c r="T79" s="152">
        <f ca="1">OFFSET(CÁLCULO!H$15,ROW($T79)-ROW(T$15),0)</f>
        <v>470</v>
      </c>
      <c r="U79" s="153">
        <v>2.56</v>
      </c>
      <c r="V79" s="154" t="s">
        <v>155</v>
      </c>
      <c r="W79" s="152">
        <f t="shared" ca="1" si="14"/>
        <v>3.25</v>
      </c>
      <c r="X79" s="155">
        <f t="shared" ca="1" si="15"/>
        <v>1527.5</v>
      </c>
      <c r="Y79" s="156" t="s">
        <v>244</v>
      </c>
      <c r="Z79" t="str">
        <f t="shared" ca="1" si="16"/>
        <v>RA</v>
      </c>
      <c r="AA79" s="157">
        <f ca="1">IF($C79="S",IF($Z79="CP",$X79,IF($Z79="RA",(($X79)*QCI!$AA$3),0)),SomaAgrup)</f>
        <v>1527.5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str">
        <f t="shared" ca="1" si="19"/>
        <v>SINAPI 91926</v>
      </c>
      <c r="AF79" s="160">
        <f t="shared" ca="1" si="20"/>
        <v>2540</v>
      </c>
      <c r="AG79" s="550">
        <f t="shared" ca="1" si="21"/>
        <v>2.62</v>
      </c>
      <c r="AH79" s="551">
        <f t="shared" ca="1" si="22"/>
        <v>0.27110000000000001</v>
      </c>
      <c r="AJ79" s="553">
        <v>470</v>
      </c>
      <c r="AL79" s="574"/>
      <c r="AM79" s="431">
        <f t="shared" ca="1" si="0"/>
        <v>1527.5</v>
      </c>
      <c r="AN79" s="617">
        <f t="shared" ca="1" si="23"/>
        <v>3.25</v>
      </c>
    </row>
    <row r="80" spans="1:40" ht="38.25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7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6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>F</v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1.7.6.</v>
      </c>
      <c r="P80" s="148" t="s">
        <v>246</v>
      </c>
      <c r="Q80" s="149" t="s">
        <v>480</v>
      </c>
      <c r="R80" s="150" t="str">
        <f t="shared" ref="R80:R143" ca="1" si="37">IF($C80="S",REFERENCIA.Descricao,"(digite a descrição aqui)")</f>
        <v>CABO DE COBRE FLEXÍVEL ISOLADO, 6 MM², ANTI-CHAMA 0,6/1,0 KV, PARA CIRCUITOS TERMINAIS - FORNECIMENTO E INSTALAÇÃO. AF_12/2015</v>
      </c>
      <c r="S80" s="151" t="str">
        <f t="shared" ref="S80:S143" ca="1" si="38">REFERENCIA.Unidade</f>
        <v>M</v>
      </c>
      <c r="T80" s="152">
        <f ca="1">OFFSET(CÁLCULO!H$15,ROW($T80)-ROW(T$15),0)</f>
        <v>120</v>
      </c>
      <c r="U80" s="153">
        <v>6.19</v>
      </c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7.87</v>
      </c>
      <c r="X80" s="155">
        <f t="shared" ref="X80:X143" ca="1" si="40">IF($C80="S",VTOTAL1,IF($C80=0,0,ROUND(SomaAgrup,15-13*$AF$11)))</f>
        <v>944.4</v>
      </c>
      <c r="Y80" s="156" t="s">
        <v>244</v>
      </c>
      <c r="Z80" t="str">
        <f t="shared" ref="Z80:Z143" ca="1" si="41">IF(AND($C80="S",$X80&gt;0),IF(ISBLANK($Y80),"RA",LEFT($Y80,2)),"")</f>
        <v>RA</v>
      </c>
      <c r="AA80" s="157">
        <f ca="1">IF($C80="S",IF($Z80="CP",$X80,IF($Z80="RA",(($X80)*QCI!$AA$3),0)),SomaAgrup)</f>
        <v>944.4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str">
        <f t="shared" ref="AE80:AE143" ca="1" si="44">IF(AND($C80="S",ORÇAMENTO.CodBarra&lt;&gt;""),IF(ORÇAMENTO.Fonte="",ORÇAMENTO.CodBarra,CONCATENATE(ORÇAMENTO.Fonte," ",ORÇAMENTO.CodBarra)))</f>
        <v>SINAPI 91931</v>
      </c>
      <c r="AF80" s="160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2545</v>
      </c>
      <c r="AG80" s="550">
        <f t="shared" ref="AG80:AG143" ca="1" si="46">ROUND(IF(DESONERACAO="sim",REFERENCIA.Desonerado,REFERENCIA.NaoDesonerado),2)</f>
        <v>6.19</v>
      </c>
      <c r="AH80" s="551">
        <f t="shared" ref="AH80:AH143" ca="1" si="47">ROUND(IF(ISNUMBER(ORÇAMENTO.OpcaoBDI),ORÇAMENTO.OpcaoBDI,IF(LEFT(ORÇAMENTO.OpcaoBDI,3)="BDI",HLOOKUP(ORÇAMENTO.OpcaoBDI,$F$4:$H$5,2,FALSE),0)),15-11*$AF$9)</f>
        <v>0.27110000000000001</v>
      </c>
      <c r="AJ80" s="553">
        <v>120</v>
      </c>
      <c r="AL80" s="574"/>
      <c r="AM80" s="431">
        <f t="shared" ref="AM80:AM143" ca="1" si="48">$X80</f>
        <v>944.4</v>
      </c>
      <c r="AN80" s="617">
        <f t="shared" ref="AN80:AN143" ca="1" si="49">ROUND(ORÇAMENTO.CustoUnitario*(1+$AH80),2)</f>
        <v>7.87</v>
      </c>
    </row>
    <row r="81" spans="1:40" ht="38.25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7</v>
      </c>
      <c r="G81">
        <f t="shared" ca="1" si="30"/>
        <v>0</v>
      </c>
      <c r="H81">
        <f t="shared" ca="1" si="31"/>
        <v>0</v>
      </c>
      <c r="I81">
        <f t="shared" ca="1" si="32"/>
        <v>7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>F</v>
      </c>
      <c r="M81" s="145" t="s">
        <v>198</v>
      </c>
      <c r="N81" s="146" t="str">
        <f t="shared" ca="1" si="35"/>
        <v>Serviço</v>
      </c>
      <c r="O81" s="147" t="str">
        <f t="shared" ca="1" si="36"/>
        <v>1.7.7.</v>
      </c>
      <c r="P81" s="148" t="s">
        <v>246</v>
      </c>
      <c r="Q81" s="149" t="s">
        <v>490</v>
      </c>
      <c r="R81" s="150" t="str">
        <f t="shared" ca="1" si="37"/>
        <v>INTERRUPTOR SIMPLES (2 MÓDULOS) COM 1 TOMADA DE EMBUTIR 2P+T 10 A,  INCLUINDO SUPORTE E PLACA - FORNECIMENTO E INSTALAÇÃO. AF_12/2015</v>
      </c>
      <c r="S81" s="151" t="str">
        <f t="shared" ca="1" si="38"/>
        <v>UN</v>
      </c>
      <c r="T81" s="152">
        <f ca="1">OFFSET(CÁLCULO!H$15,ROW($T81)-ROW(T$15),0)</f>
        <v>7</v>
      </c>
      <c r="U81" s="153">
        <v>53.64</v>
      </c>
      <c r="V81" s="154" t="s">
        <v>155</v>
      </c>
      <c r="W81" s="152">
        <f t="shared" ca="1" si="39"/>
        <v>68.180000000000007</v>
      </c>
      <c r="X81" s="155">
        <f t="shared" ca="1" si="40"/>
        <v>477.26</v>
      </c>
      <c r="Y81" s="156" t="s">
        <v>244</v>
      </c>
      <c r="Z81" t="str">
        <f t="shared" ca="1" si="41"/>
        <v>RA</v>
      </c>
      <c r="AA81" s="157">
        <f ca="1">IF($C81="S",IF($Z81="CP",$X81,IF($Z81="RA",(($X81)*QCI!$AA$3),0)),SomaAgrup)</f>
        <v>477.26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str">
        <f t="shared" ca="1" si="44"/>
        <v>SINAPI 92027</v>
      </c>
      <c r="AF81" s="160">
        <f t="shared" ca="1" si="45"/>
        <v>2760</v>
      </c>
      <c r="AG81" s="550">
        <f t="shared" ca="1" si="46"/>
        <v>53.64</v>
      </c>
      <c r="AH81" s="551">
        <f t="shared" ca="1" si="47"/>
        <v>0.27110000000000001</v>
      </c>
      <c r="AJ81" s="553">
        <v>7</v>
      </c>
      <c r="AL81" s="574"/>
      <c r="AM81" s="431">
        <f t="shared" ca="1" si="48"/>
        <v>477.26</v>
      </c>
      <c r="AN81" s="617">
        <f t="shared" ca="1" si="49"/>
        <v>68.180000000000007</v>
      </c>
    </row>
    <row r="82" spans="1:40" ht="25.5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7</v>
      </c>
      <c r="G82">
        <f t="shared" ca="1" si="30"/>
        <v>0</v>
      </c>
      <c r="H82">
        <f t="shared" ca="1" si="31"/>
        <v>0</v>
      </c>
      <c r="I82">
        <f t="shared" ca="1" si="32"/>
        <v>8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>F</v>
      </c>
      <c r="M82" s="145" t="s">
        <v>198</v>
      </c>
      <c r="N82" s="146" t="str">
        <f t="shared" ca="1" si="35"/>
        <v>Serviço</v>
      </c>
      <c r="O82" s="147" t="str">
        <f t="shared" ca="1" si="36"/>
        <v>1.7.8.</v>
      </c>
      <c r="P82" s="148" t="s">
        <v>246</v>
      </c>
      <c r="Q82" s="149" t="s">
        <v>491</v>
      </c>
      <c r="R82" s="150" t="str">
        <f t="shared" ca="1" si="37"/>
        <v>TOMADA MÉDIA DE EMBUTIR (1 MÓDULO), 2P+T 10 A, INCLUINDO SUPORTE E PLACA - FORNECIMENTO E INSTALAÇÃO. AF_12/2015</v>
      </c>
      <c r="S82" s="151" t="str">
        <f t="shared" ca="1" si="38"/>
        <v>UN</v>
      </c>
      <c r="T82" s="152">
        <f ca="1">OFFSET(CÁLCULO!H$15,ROW($T82)-ROW(T$15),0)</f>
        <v>10</v>
      </c>
      <c r="U82" s="153">
        <v>27.06</v>
      </c>
      <c r="V82" s="154" t="s">
        <v>155</v>
      </c>
      <c r="W82" s="152">
        <f t="shared" ca="1" si="39"/>
        <v>34.4</v>
      </c>
      <c r="X82" s="155">
        <f t="shared" ca="1" si="40"/>
        <v>344</v>
      </c>
      <c r="Y82" s="156" t="s">
        <v>244</v>
      </c>
      <c r="Z82" t="str">
        <f t="shared" ca="1" si="41"/>
        <v>RA</v>
      </c>
      <c r="AA82" s="157">
        <f ca="1">IF($C82="S",IF($Z82="CP",$X82,IF($Z82="RA",(($X82)*QCI!$AA$3),0)),SomaAgrup)</f>
        <v>344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str">
        <f t="shared" ca="1" si="44"/>
        <v>SINAPI 91996</v>
      </c>
      <c r="AF82" s="160">
        <f t="shared" ca="1" si="45"/>
        <v>2729</v>
      </c>
      <c r="AG82" s="550">
        <f t="shared" ca="1" si="46"/>
        <v>27.06</v>
      </c>
      <c r="AH82" s="551">
        <f t="shared" ca="1" si="47"/>
        <v>0.27110000000000001</v>
      </c>
      <c r="AJ82" s="553">
        <v>10</v>
      </c>
      <c r="AL82" s="574"/>
      <c r="AM82" s="431">
        <f t="shared" ca="1" si="48"/>
        <v>344</v>
      </c>
      <c r="AN82" s="617">
        <f t="shared" ca="1" si="49"/>
        <v>34.4</v>
      </c>
    </row>
    <row r="83" spans="1:40" ht="25.5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7</v>
      </c>
      <c r="G83">
        <f t="shared" ca="1" si="30"/>
        <v>0</v>
      </c>
      <c r="H83">
        <f t="shared" ca="1" si="31"/>
        <v>0</v>
      </c>
      <c r="I83">
        <f t="shared" ca="1" si="32"/>
        <v>9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>F</v>
      </c>
      <c r="M83" s="145" t="s">
        <v>198</v>
      </c>
      <c r="N83" s="146" t="str">
        <f t="shared" ca="1" si="35"/>
        <v>Serviço</v>
      </c>
      <c r="O83" s="147" t="str">
        <f t="shared" ca="1" si="36"/>
        <v>1.7.9.</v>
      </c>
      <c r="P83" s="148" t="s">
        <v>246</v>
      </c>
      <c r="Q83" s="149" t="s">
        <v>492</v>
      </c>
      <c r="R83" s="150" t="str">
        <f t="shared" ca="1" si="37"/>
        <v>TOMADA ALTA DE EMBUTIR (1 MÓDULO), 2P+T 20 A, INCLUINDO SUPORTE E PLACA - FORNECIMENTO E INSTALAÇÃO. AF_12/2015</v>
      </c>
      <c r="S83" s="151" t="str">
        <f t="shared" ca="1" si="38"/>
        <v>UN</v>
      </c>
      <c r="T83" s="152">
        <f ca="1">OFFSET(CÁLCULO!H$15,ROW($T83)-ROW(T$15),0)</f>
        <v>3</v>
      </c>
      <c r="U83" s="153">
        <v>36.71</v>
      </c>
      <c r="V83" s="154" t="s">
        <v>155</v>
      </c>
      <c r="W83" s="152">
        <f t="shared" ca="1" si="39"/>
        <v>46.66</v>
      </c>
      <c r="X83" s="155">
        <f t="shared" ca="1" si="40"/>
        <v>139.97999999999999</v>
      </c>
      <c r="Y83" s="156" t="s">
        <v>244</v>
      </c>
      <c r="Z83" t="str">
        <f t="shared" ca="1" si="41"/>
        <v>RA</v>
      </c>
      <c r="AA83" s="157">
        <f ca="1">IF($C83="S",IF($Z83="CP",$X83,IF($Z83="RA",(($X83)*QCI!$AA$3),0)),SomaAgrup)</f>
        <v>139.97999999999999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str">
        <f t="shared" ca="1" si="44"/>
        <v>SINAPI 91993</v>
      </c>
      <c r="AF83" s="160">
        <f t="shared" ca="1" si="45"/>
        <v>2726</v>
      </c>
      <c r="AG83" s="550">
        <f t="shared" ca="1" si="46"/>
        <v>36.71</v>
      </c>
      <c r="AH83" s="551">
        <f t="shared" ca="1" si="47"/>
        <v>0.27110000000000001</v>
      </c>
      <c r="AJ83" s="553">
        <v>3</v>
      </c>
      <c r="AL83" s="574"/>
      <c r="AM83" s="431">
        <f t="shared" ca="1" si="48"/>
        <v>139.97999999999999</v>
      </c>
      <c r="AN83" s="617">
        <f t="shared" ca="1" si="49"/>
        <v>46.66</v>
      </c>
    </row>
    <row r="84" spans="1:40" ht="25.5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7</v>
      </c>
      <c r="G84">
        <f t="shared" ca="1" si="30"/>
        <v>0</v>
      </c>
      <c r="H84">
        <f t="shared" ca="1" si="31"/>
        <v>0</v>
      </c>
      <c r="I84">
        <f t="shared" ca="1" si="32"/>
        <v>10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>F</v>
      </c>
      <c r="M84" s="145" t="s">
        <v>198</v>
      </c>
      <c r="N84" s="146" t="str">
        <f t="shared" ca="1" si="35"/>
        <v>Serviço</v>
      </c>
      <c r="O84" s="147" t="str">
        <f t="shared" ca="1" si="36"/>
        <v>1.7.10.</v>
      </c>
      <c r="P84" s="148" t="s">
        <v>246</v>
      </c>
      <c r="Q84" s="149" t="s">
        <v>493</v>
      </c>
      <c r="R84" s="150" t="str">
        <f t="shared" ca="1" si="37"/>
        <v>LUMINÁRIA TIPO PLAFON, DE SOBREPOR, COM 1 LÂMPADA LED DE 12/13 W, SEM REATOR - FORNECIMENTO E INSTALAÇÃO. AF_02/2020</v>
      </c>
      <c r="S84" s="151" t="str">
        <f t="shared" ca="1" si="38"/>
        <v>UN</v>
      </c>
      <c r="T84" s="152">
        <f ca="1">OFFSET(CÁLCULO!H$15,ROW($T84)-ROW(T$15),0)</f>
        <v>12</v>
      </c>
      <c r="U84" s="153">
        <v>38.67</v>
      </c>
      <c r="V84" s="154" t="s">
        <v>155</v>
      </c>
      <c r="W84" s="152">
        <f t="shared" ca="1" si="39"/>
        <v>49.15</v>
      </c>
      <c r="X84" s="155">
        <f t="shared" ca="1" si="40"/>
        <v>589.79999999999995</v>
      </c>
      <c r="Y84" s="156" t="s">
        <v>244</v>
      </c>
      <c r="Z84" t="str">
        <f t="shared" ca="1" si="41"/>
        <v>RA</v>
      </c>
      <c r="AA84" s="157">
        <f ca="1">IF($C84="S",IF($Z84="CP",$X84,IF($Z84="RA",(($X84)*QCI!$AA$3),0)),SomaAgrup)</f>
        <v>589.79999999999995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str">
        <f t="shared" ca="1" si="44"/>
        <v>SINAPI 97592</v>
      </c>
      <c r="AF84" s="160">
        <f t="shared" ca="1" si="45"/>
        <v>2779</v>
      </c>
      <c r="AG84" s="550">
        <f t="shared" ca="1" si="46"/>
        <v>38.67</v>
      </c>
      <c r="AH84" s="551">
        <f t="shared" ca="1" si="47"/>
        <v>0.27110000000000001</v>
      </c>
      <c r="AJ84" s="553">
        <v>12</v>
      </c>
      <c r="AL84" s="574"/>
      <c r="AM84" s="431">
        <f t="shared" ca="1" si="48"/>
        <v>589.79999999999995</v>
      </c>
      <c r="AN84" s="617">
        <f t="shared" ca="1" si="49"/>
        <v>49.15</v>
      </c>
    </row>
    <row r="85" spans="1:40" x14ac:dyDescent="0.2">
      <c r="A85">
        <f t="shared" si="25"/>
        <v>2</v>
      </c>
      <c r="B85">
        <f t="shared" ca="1" si="26"/>
        <v>2</v>
      </c>
      <c r="C85">
        <f t="shared" ca="1" si="27"/>
        <v>2</v>
      </c>
      <c r="D85">
        <f t="shared" ca="1" si="28"/>
        <v>8</v>
      </c>
      <c r="E85">
        <f ca="1">IF($C85=1,OFFSET(E85,-1,0)+MAX(1,COUNTIF(QCI!$A$13:$A$24,OFFSET(ORÇAMENTO!E85,-1,0))),OFFSET(E85,-1,0))</f>
        <v>1</v>
      </c>
      <c r="F85">
        <f t="shared" ca="1" si="29"/>
        <v>8</v>
      </c>
      <c r="G85">
        <f t="shared" ca="1" si="30"/>
        <v>0</v>
      </c>
      <c r="H85">
        <f t="shared" ca="1" si="31"/>
        <v>0</v>
      </c>
      <c r="I85">
        <f t="shared" ca="1" si="32"/>
        <v>0</v>
      </c>
      <c r="J85">
        <f t="shared" ca="1" si="33"/>
        <v>181</v>
      </c>
      <c r="K85">
        <f ca="1">IF(OR($C85="S",$C85=0),0,MATCH(OFFSET($D85,0,$C85)+IF($C85&lt;&gt;1,1,COUNTIF(QCI!$A$13:$A$24,ORÇAMENTO!E85)),OFFSET($D85,1,$C85,ROW($C$266)-ROW($C85)),0))</f>
        <v>8</v>
      </c>
      <c r="L85" s="144" t="str">
        <f t="shared" ca="1" si="34"/>
        <v>F</v>
      </c>
      <c r="M85" s="145" t="s">
        <v>195</v>
      </c>
      <c r="N85" s="146" t="str">
        <f t="shared" ca="1" si="35"/>
        <v>Nível 2</v>
      </c>
      <c r="O85" s="147" t="str">
        <f t="shared" ca="1" si="36"/>
        <v>1.8.</v>
      </c>
      <c r="P85" s="148" t="s">
        <v>246</v>
      </c>
      <c r="Q85" s="149"/>
      <c r="R85" s="150" t="str">
        <f ca="1">IF($C85="S",REFERENCIA.Descricao,"HIDROSANITÁRIO")</f>
        <v>HIDROSANITÁRIO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4795.3500000000004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4795.3500000000004</v>
      </c>
      <c r="AB85" s="158">
        <f t="shared" ca="1" si="42"/>
        <v>0</v>
      </c>
      <c r="AC85" s="159" t="str">
        <f t="shared" ca="1" si="43"/>
        <v/>
      </c>
      <c r="AD85" s="105">
        <f ca="1">IF(C85&lt;=CRONO.NivelExibicao,MAX($AD$15:OFFSET(AD85,-1,0))+IF($C85&lt;&gt;1,1,MAX(1,COUNTIF(QCI!$A$13:$A$24,OFFSET($E85,-1,0)))),"")</f>
        <v>9</v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0.27110000000000001</v>
      </c>
      <c r="AJ85" s="553"/>
      <c r="AL85" s="574"/>
      <c r="AM85" s="431">
        <f t="shared" ca="1" si="48"/>
        <v>4795.3500000000004</v>
      </c>
      <c r="AN85" s="617">
        <f t="shared" ca="1" si="49"/>
        <v>0</v>
      </c>
    </row>
    <row r="86" spans="1:40" ht="25.5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8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>F</v>
      </c>
      <c r="M86" s="145" t="s">
        <v>198</v>
      </c>
      <c r="N86" s="146" t="str">
        <f t="shared" ca="1" si="35"/>
        <v>Serviço</v>
      </c>
      <c r="O86" s="147" t="str">
        <f t="shared" ca="1" si="36"/>
        <v>1.8.1.</v>
      </c>
      <c r="P86" s="148" t="s">
        <v>246</v>
      </c>
      <c r="Q86" s="149" t="s">
        <v>474</v>
      </c>
      <c r="R86" s="150" t="str">
        <f t="shared" ca="1" si="37"/>
        <v>VASO SANITÁRIO SIFONADO COM CAIXA ACOPLADA LOUÇA BRANCA - FORNECIMENTO E INSTALAÇÃO. AF_01/2020</v>
      </c>
      <c r="S86" s="151" t="str">
        <f t="shared" ca="1" si="38"/>
        <v>UN</v>
      </c>
      <c r="T86" s="152">
        <f ca="1">OFFSET(CÁLCULO!H$15,ROW($T86)-ROW(T$15),0)</f>
        <v>3</v>
      </c>
      <c r="U86" s="153">
        <v>408.94</v>
      </c>
      <c r="V86" s="154" t="s">
        <v>155</v>
      </c>
      <c r="W86" s="152">
        <f t="shared" ca="1" si="39"/>
        <v>519.79999999999995</v>
      </c>
      <c r="X86" s="155">
        <f t="shared" ca="1" si="40"/>
        <v>1559.4</v>
      </c>
      <c r="Y86" s="156" t="s">
        <v>244</v>
      </c>
      <c r="Z86" t="str">
        <f t="shared" ca="1" si="41"/>
        <v>RA</v>
      </c>
      <c r="AA86" s="157">
        <f ca="1">IF($C86="S",IF($Z86="CP",$X86,IF($Z86="RA",(($X86)*QCI!$AA$3),0)),SomaAgrup)</f>
        <v>1559.4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str">
        <f t="shared" ca="1" si="44"/>
        <v>SINAPI 86888</v>
      </c>
      <c r="AF86" s="160">
        <f t="shared" ca="1" si="45"/>
        <v>4387</v>
      </c>
      <c r="AG86" s="550">
        <f t="shared" ca="1" si="46"/>
        <v>408.94</v>
      </c>
      <c r="AH86" s="551">
        <f t="shared" ca="1" si="47"/>
        <v>0.27110000000000001</v>
      </c>
      <c r="AJ86" s="553">
        <v>3</v>
      </c>
      <c r="AL86" s="574"/>
      <c r="AM86" s="431">
        <f t="shared" ca="1" si="48"/>
        <v>1559.4</v>
      </c>
      <c r="AN86" s="617">
        <f t="shared" ca="1" si="49"/>
        <v>519.79999999999995</v>
      </c>
    </row>
    <row r="87" spans="1:40" ht="25.5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8</v>
      </c>
      <c r="G87">
        <f t="shared" ca="1" si="30"/>
        <v>0</v>
      </c>
      <c r="H87">
        <f t="shared" ca="1" si="31"/>
        <v>0</v>
      </c>
      <c r="I87">
        <f t="shared" ca="1" si="32"/>
        <v>2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>F</v>
      </c>
      <c r="M87" s="145" t="s">
        <v>198</v>
      </c>
      <c r="N87" s="146" t="str">
        <f t="shared" ca="1" si="35"/>
        <v>Serviço</v>
      </c>
      <c r="O87" s="147" t="str">
        <f t="shared" ca="1" si="36"/>
        <v>1.8.2.</v>
      </c>
      <c r="P87" s="148" t="s">
        <v>246</v>
      </c>
      <c r="Q87" s="149" t="s">
        <v>475</v>
      </c>
      <c r="R87" s="150" t="str">
        <f t="shared" ca="1" si="37"/>
        <v>MICTÓRIO SIFONADO LOUÇA BRANCA  PADRÃO MÉDIO  FORNECIMENTO E INSTALAÇÃO. AF_01/2020</v>
      </c>
      <c r="S87" s="151" t="str">
        <f t="shared" ca="1" si="38"/>
        <v>UN</v>
      </c>
      <c r="T87" s="152">
        <f ca="1">OFFSET(CÁLCULO!H$15,ROW($T87)-ROW(T$15),0)</f>
        <v>2</v>
      </c>
      <c r="U87" s="153">
        <v>516.29999999999995</v>
      </c>
      <c r="V87" s="154" t="s">
        <v>155</v>
      </c>
      <c r="W87" s="152">
        <f t="shared" ca="1" si="39"/>
        <v>656.27</v>
      </c>
      <c r="X87" s="155">
        <f t="shared" ca="1" si="40"/>
        <v>1312.54</v>
      </c>
      <c r="Y87" s="156" t="s">
        <v>244</v>
      </c>
      <c r="Z87" t="str">
        <f t="shared" ca="1" si="41"/>
        <v>RA</v>
      </c>
      <c r="AA87" s="157">
        <f ca="1">IF($C87="S",IF($Z87="CP",$X87,IF($Z87="RA",(($X87)*QCI!$AA$3),0)),SomaAgrup)</f>
        <v>1312.54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str">
        <f t="shared" ca="1" si="44"/>
        <v>SINAPI 100858</v>
      </c>
      <c r="AF87" s="160">
        <f t="shared" ca="1" si="45"/>
        <v>4455</v>
      </c>
      <c r="AG87" s="550">
        <f t="shared" ca="1" si="46"/>
        <v>533.85</v>
      </c>
      <c r="AH87" s="551">
        <f t="shared" ca="1" si="47"/>
        <v>0.27110000000000001</v>
      </c>
      <c r="AJ87" s="553">
        <v>2</v>
      </c>
      <c r="AL87" s="574"/>
      <c r="AM87" s="431">
        <f t="shared" ca="1" si="48"/>
        <v>1312.54</v>
      </c>
      <c r="AN87" s="617">
        <f t="shared" ca="1" si="49"/>
        <v>656.27</v>
      </c>
    </row>
    <row r="88" spans="1:40" ht="38.25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8</v>
      </c>
      <c r="G88">
        <f t="shared" ca="1" si="30"/>
        <v>0</v>
      </c>
      <c r="H88">
        <f t="shared" ca="1" si="31"/>
        <v>0</v>
      </c>
      <c r="I88">
        <f t="shared" ca="1" si="32"/>
        <v>3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>F</v>
      </c>
      <c r="M88" s="145" t="s">
        <v>198</v>
      </c>
      <c r="N88" s="146" t="str">
        <f t="shared" ca="1" si="35"/>
        <v>Serviço</v>
      </c>
      <c r="O88" s="147" t="str">
        <f t="shared" ca="1" si="36"/>
        <v>1.8.3.</v>
      </c>
      <c r="P88" s="148" t="s">
        <v>246</v>
      </c>
      <c r="Q88" s="149" t="s">
        <v>481</v>
      </c>
      <c r="R88" s="150" t="str">
        <f t="shared" ca="1" si="37"/>
        <v>TUBO PVC, SERIE NORMAL, ESGOTO PREDIAL, DN 100 MM, FORNECIDO E INSTALADO EM RAMAL DE DESCARGA OU RAMAL DE ESGOTO SANITÁRIO. AF_12/2014</v>
      </c>
      <c r="S88" s="151" t="str">
        <f t="shared" ca="1" si="38"/>
        <v>M</v>
      </c>
      <c r="T88" s="152">
        <f ca="1">OFFSET(CÁLCULO!H$15,ROW($T88)-ROW(T$15),0)</f>
        <v>25</v>
      </c>
      <c r="U88" s="153">
        <v>44.44</v>
      </c>
      <c r="V88" s="154" t="s">
        <v>155</v>
      </c>
      <c r="W88" s="152">
        <f t="shared" ca="1" si="39"/>
        <v>56.49</v>
      </c>
      <c r="X88" s="155">
        <f t="shared" ca="1" si="40"/>
        <v>1412.25</v>
      </c>
      <c r="Y88" s="156" t="s">
        <v>244</v>
      </c>
      <c r="Z88" t="str">
        <f t="shared" ca="1" si="41"/>
        <v>RA</v>
      </c>
      <c r="AA88" s="157">
        <f ca="1">IF($C88="S",IF($Z88="CP",$X88,IF($Z88="RA",(($X88)*QCI!$AA$3),0)),SomaAgrup)</f>
        <v>1412.25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str">
        <f t="shared" ca="1" si="44"/>
        <v>SINAPI 89714</v>
      </c>
      <c r="AF88" s="160">
        <f t="shared" ca="1" si="45"/>
        <v>3038</v>
      </c>
      <c r="AG88" s="550">
        <f t="shared" ca="1" si="46"/>
        <v>44.44</v>
      </c>
      <c r="AH88" s="551">
        <f t="shared" ca="1" si="47"/>
        <v>0.27110000000000001</v>
      </c>
      <c r="AJ88" s="553">
        <v>25</v>
      </c>
      <c r="AL88" s="574"/>
      <c r="AM88" s="431">
        <f t="shared" ca="1" si="48"/>
        <v>1412.25</v>
      </c>
      <c r="AN88" s="617">
        <f t="shared" ca="1" si="49"/>
        <v>56.49</v>
      </c>
    </row>
    <row r="89" spans="1:40" ht="25.5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8</v>
      </c>
      <c r="G89">
        <f t="shared" ca="1" si="30"/>
        <v>0</v>
      </c>
      <c r="H89">
        <f t="shared" ca="1" si="31"/>
        <v>0</v>
      </c>
      <c r="I89">
        <f t="shared" ca="1" si="32"/>
        <v>4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>F</v>
      </c>
      <c r="M89" s="145" t="s">
        <v>198</v>
      </c>
      <c r="N89" s="146" t="str">
        <f t="shared" ca="1" si="35"/>
        <v>Serviço</v>
      </c>
      <c r="O89" s="147" t="str">
        <f t="shared" ca="1" si="36"/>
        <v>1.8.4.</v>
      </c>
      <c r="P89" s="148" t="s">
        <v>246</v>
      </c>
      <c r="Q89" s="149" t="s">
        <v>482</v>
      </c>
      <c r="R89" s="150" t="str">
        <f t="shared" ca="1" si="37"/>
        <v>TUBO, PVC, SOLDÁVEL, DN 25MM, INSTALADO EM PRUMADA DE ÁGUA - FORNECIMENTO E INSTALAÇÃO. AF_12/2014</v>
      </c>
      <c r="S89" s="151" t="str">
        <f t="shared" ca="1" si="38"/>
        <v>M</v>
      </c>
      <c r="T89" s="152">
        <f ca="1">OFFSET(CÁLCULO!H$15,ROW($T89)-ROW(T$15),0)</f>
        <v>80</v>
      </c>
      <c r="U89" s="153">
        <v>3.26</v>
      </c>
      <c r="V89" s="154" t="s">
        <v>155</v>
      </c>
      <c r="W89" s="152">
        <f t="shared" ca="1" si="39"/>
        <v>4.1399999999999997</v>
      </c>
      <c r="X89" s="155">
        <f t="shared" ca="1" si="40"/>
        <v>331.2</v>
      </c>
      <c r="Y89" s="156" t="s">
        <v>244</v>
      </c>
      <c r="Z89" t="str">
        <f t="shared" ca="1" si="41"/>
        <v>RA</v>
      </c>
      <c r="AA89" s="157">
        <f ca="1">IF($C89="S",IF($Z89="CP",$X89,IF($Z89="RA",(($X89)*QCI!$AA$3),0)),SomaAgrup)</f>
        <v>331.2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str">
        <f t="shared" ca="1" si="44"/>
        <v>SINAPI 89446</v>
      </c>
      <c r="AF89" s="160">
        <f t="shared" ca="1" si="45"/>
        <v>3017</v>
      </c>
      <c r="AG89" s="550">
        <f t="shared" ca="1" si="46"/>
        <v>3.26</v>
      </c>
      <c r="AH89" s="551">
        <f t="shared" ca="1" si="47"/>
        <v>0.27110000000000001</v>
      </c>
      <c r="AJ89" s="553">
        <v>80</v>
      </c>
      <c r="AL89" s="574"/>
      <c r="AM89" s="431">
        <f t="shared" ca="1" si="48"/>
        <v>331.2</v>
      </c>
      <c r="AN89" s="617">
        <f t="shared" ca="1" si="49"/>
        <v>4.1399999999999997</v>
      </c>
    </row>
    <row r="90" spans="1:40" ht="25.5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8</v>
      </c>
      <c r="G90">
        <f t="shared" ca="1" si="30"/>
        <v>0</v>
      </c>
      <c r="H90">
        <f t="shared" ca="1" si="31"/>
        <v>0</v>
      </c>
      <c r="I90">
        <f t="shared" ca="1" si="32"/>
        <v>5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>F</v>
      </c>
      <c r="M90" s="145" t="s">
        <v>198</v>
      </c>
      <c r="N90" s="146" t="str">
        <f t="shared" ca="1" si="35"/>
        <v>Serviço</v>
      </c>
      <c r="O90" s="147" t="str">
        <f t="shared" ca="1" si="36"/>
        <v>1.8.5.</v>
      </c>
      <c r="P90" s="148" t="s">
        <v>451</v>
      </c>
      <c r="Q90" s="149" t="s">
        <v>494</v>
      </c>
      <c r="R90" s="150" t="str">
        <f t="shared" ca="1" si="37"/>
        <v>RALO SIFONADO PVC REDONDO CONICO, 100 X 40 MM, COM GRELHA  BRANCA REDONDA</v>
      </c>
      <c r="S90" s="151" t="str">
        <f t="shared" ca="1" si="38"/>
        <v xml:space="preserve">UN    </v>
      </c>
      <c r="T90" s="152">
        <f ca="1">OFFSET(CÁLCULO!H$15,ROW($T90)-ROW(T$15),0)</f>
        <v>4</v>
      </c>
      <c r="U90" s="153">
        <v>5.62</v>
      </c>
      <c r="V90" s="154" t="s">
        <v>155</v>
      </c>
      <c r="W90" s="152">
        <f t="shared" ca="1" si="39"/>
        <v>7.14</v>
      </c>
      <c r="X90" s="155">
        <f t="shared" ca="1" si="40"/>
        <v>28.56</v>
      </c>
      <c r="Y90" s="156" t="s">
        <v>244</v>
      </c>
      <c r="Z90" t="str">
        <f t="shared" ca="1" si="41"/>
        <v>RA</v>
      </c>
      <c r="AA90" s="157">
        <f ca="1">IF($C90="S",IF($Z90="CP",$X90,IF($Z90="RA",(($X90)*QCI!$AA$3),0)),SomaAgrup)</f>
        <v>28.56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str">
        <f t="shared" ca="1" si="44"/>
        <v>SINAPI-I 11743</v>
      </c>
      <c r="AF90" s="160">
        <f t="shared" ca="1" si="45"/>
        <v>10291</v>
      </c>
      <c r="AG90" s="550">
        <f t="shared" ca="1" si="46"/>
        <v>5.62</v>
      </c>
      <c r="AH90" s="551">
        <f t="shared" ca="1" si="47"/>
        <v>0.27110000000000001</v>
      </c>
      <c r="AJ90" s="553">
        <v>4</v>
      </c>
      <c r="AL90" s="574"/>
      <c r="AM90" s="431">
        <f t="shared" ca="1" si="48"/>
        <v>28.56</v>
      </c>
      <c r="AN90" s="617">
        <f t="shared" ca="1" si="49"/>
        <v>7.14</v>
      </c>
    </row>
    <row r="91" spans="1:40" ht="25.5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8</v>
      </c>
      <c r="G91">
        <f t="shared" ca="1" si="30"/>
        <v>0</v>
      </c>
      <c r="H91">
        <f t="shared" ca="1" si="31"/>
        <v>0</v>
      </c>
      <c r="I91">
        <f t="shared" ca="1" si="32"/>
        <v>6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>F</v>
      </c>
      <c r="M91" s="145" t="s">
        <v>198</v>
      </c>
      <c r="N91" s="146" t="str">
        <f t="shared" ca="1" si="35"/>
        <v>Serviço</v>
      </c>
      <c r="O91" s="147" t="str">
        <f t="shared" ca="1" si="36"/>
        <v>1.8.6.</v>
      </c>
      <c r="P91" s="148" t="s">
        <v>246</v>
      </c>
      <c r="Q91" s="149" t="s">
        <v>495</v>
      </c>
      <c r="R91" s="150" t="str">
        <f t="shared" ca="1" si="37"/>
        <v>REGISTRO DE GAVETA BRUTO, LATÃO, ROSCÁVEL, 1/2", FORNECIDO E INSTALADO EM RAMAL DE ÁGUA. AF_12/2014</v>
      </c>
      <c r="S91" s="151" t="str">
        <f t="shared" ca="1" si="38"/>
        <v>UN</v>
      </c>
      <c r="T91" s="152">
        <f ca="1">OFFSET(CÁLCULO!H$15,ROW($T91)-ROW(T$15),0)</f>
        <v>4</v>
      </c>
      <c r="U91" s="153">
        <v>29.78</v>
      </c>
      <c r="V91" s="154" t="s">
        <v>155</v>
      </c>
      <c r="W91" s="152">
        <f t="shared" ca="1" si="39"/>
        <v>37.85</v>
      </c>
      <c r="X91" s="155">
        <f t="shared" ca="1" si="40"/>
        <v>151.4</v>
      </c>
      <c r="Y91" s="156" t="s">
        <v>244</v>
      </c>
      <c r="Z91" t="str">
        <f t="shared" ca="1" si="41"/>
        <v>RA</v>
      </c>
      <c r="AA91" s="157">
        <f ca="1">IF($C91="S",IF($Z91="CP",$X91,IF($Z91="RA",(($X91)*QCI!$AA$3),0)),SomaAgrup)</f>
        <v>151.4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str">
        <f t="shared" ca="1" si="44"/>
        <v>SINAPI 89352</v>
      </c>
      <c r="AF91" s="160">
        <f t="shared" ca="1" si="45"/>
        <v>4520</v>
      </c>
      <c r="AG91" s="550">
        <f t="shared" ca="1" si="46"/>
        <v>29.78</v>
      </c>
      <c r="AH91" s="551">
        <f t="shared" ca="1" si="47"/>
        <v>0.27110000000000001</v>
      </c>
      <c r="AJ91" s="553">
        <v>4</v>
      </c>
      <c r="AL91" s="574"/>
      <c r="AM91" s="431">
        <f t="shared" ca="1" si="48"/>
        <v>151.4</v>
      </c>
      <c r="AN91" s="617">
        <f t="shared" ca="1" si="49"/>
        <v>37.85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8</v>
      </c>
      <c r="G92">
        <f t="shared" ca="1" si="30"/>
        <v>0</v>
      </c>
      <c r="H92">
        <f t="shared" ca="1" si="31"/>
        <v>0</v>
      </c>
      <c r="I92">
        <f t="shared" ca="1" si="32"/>
        <v>6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0.27110000000000001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x14ac:dyDescent="0.2">
      <c r="A93">
        <f t="shared" si="25"/>
        <v>2</v>
      </c>
      <c r="B93">
        <f t="shared" ca="1" si="26"/>
        <v>2</v>
      </c>
      <c r="C93">
        <f t="shared" ca="1" si="27"/>
        <v>2</v>
      </c>
      <c r="D93">
        <f t="shared" ca="1" si="28"/>
        <v>8</v>
      </c>
      <c r="E93">
        <f ca="1">IF($C93=1,OFFSET(E93,-1,0)+MAX(1,COUNTIF(QCI!$A$13:$A$24,OFFSET(ORÇAMENTO!E93,-1,0))),OFFSET(E93,-1,0))</f>
        <v>1</v>
      </c>
      <c r="F93">
        <f t="shared" ca="1" si="29"/>
        <v>9</v>
      </c>
      <c r="G93">
        <f t="shared" ca="1" si="30"/>
        <v>0</v>
      </c>
      <c r="H93">
        <f t="shared" ca="1" si="31"/>
        <v>0</v>
      </c>
      <c r="I93">
        <f t="shared" ca="1" si="32"/>
        <v>0</v>
      </c>
      <c r="J93">
        <f t="shared" ca="1" si="33"/>
        <v>173</v>
      </c>
      <c r="K93">
        <f ca="1">IF(OR($C93="S",$C93=0),0,MATCH(OFFSET($D93,0,$C93)+IF($C93&lt;&gt;1,1,COUNTIF(QCI!$A$13:$A$24,ORÇAMENTO!E93)),OFFSET($D93,1,$C93,ROW($C$266)-ROW($C93)),0))</f>
        <v>8</v>
      </c>
      <c r="L93" s="144" t="str">
        <f t="shared" ca="1" si="34"/>
        <v>F</v>
      </c>
      <c r="M93" s="145" t="s">
        <v>195</v>
      </c>
      <c r="N93" s="146" t="str">
        <f t="shared" ca="1" si="35"/>
        <v>Nível 2</v>
      </c>
      <c r="O93" s="147" t="str">
        <f t="shared" ca="1" si="36"/>
        <v>1.9.</v>
      </c>
      <c r="P93" s="148" t="s">
        <v>246</v>
      </c>
      <c r="Q93" s="149"/>
      <c r="R93" s="150" t="str">
        <f ca="1">IF($C93="S",REFERENCIA.Descricao,"EQUIPAMENTOS")</f>
        <v>EQUIPAMENTOS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8625.89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8625.89</v>
      </c>
      <c r="AB93" s="158">
        <f t="shared" ca="1" si="42"/>
        <v>0</v>
      </c>
      <c r="AC93" s="159" t="str">
        <f t="shared" ca="1" si="43"/>
        <v/>
      </c>
      <c r="AD93" s="105">
        <f ca="1">IF(C93&lt;=CRONO.NivelExibicao,MAX($AD$15:OFFSET(AD93,-1,0))+IF($C93&lt;&gt;1,1,MAX(1,COUNTIF(QCI!$A$13:$A$24,OFFSET($E93,-1,0)))),"")</f>
        <v>10</v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0.27110000000000001</v>
      </c>
      <c r="AJ93" s="553"/>
      <c r="AL93" s="574"/>
      <c r="AM93" s="431">
        <f t="shared" ca="1" si="48"/>
        <v>8625.89</v>
      </c>
      <c r="AN93" s="617">
        <f t="shared" ca="1" si="49"/>
        <v>0</v>
      </c>
    </row>
    <row r="94" spans="1:40" ht="38.25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9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>F</v>
      </c>
      <c r="M94" s="145" t="s">
        <v>198</v>
      </c>
      <c r="N94" s="146" t="str">
        <f t="shared" ca="1" si="35"/>
        <v>Serviço</v>
      </c>
      <c r="O94" s="147" t="str">
        <f t="shared" ca="1" si="36"/>
        <v>1.9.1.</v>
      </c>
      <c r="P94" s="148" t="s">
        <v>451</v>
      </c>
      <c r="Q94" s="149" t="s">
        <v>473</v>
      </c>
      <c r="R94" s="150" t="str">
        <f t="shared" ca="1" si="37"/>
        <v>DIVISORIA EM GRANITO, COM DUAS FACES POLIDAS, TIPO ANDORINHA/ QUARTZ/ CASTELO/ CORUMBA OU OUTROS EQUIVALENTES DA REGIAO, E=  *3,0* CM</v>
      </c>
      <c r="S94" s="151" t="str">
        <f t="shared" ca="1" si="38"/>
        <v xml:space="preserve">M2    </v>
      </c>
      <c r="T94" s="152">
        <f ca="1">OFFSET(CÁLCULO!H$15,ROW($T94)-ROW(T$15),0)</f>
        <v>11.5</v>
      </c>
      <c r="U94" s="153">
        <v>315</v>
      </c>
      <c r="V94" s="154" t="s">
        <v>155</v>
      </c>
      <c r="W94" s="152">
        <f t="shared" ca="1" si="39"/>
        <v>400.4</v>
      </c>
      <c r="X94" s="155">
        <f t="shared" ca="1" si="40"/>
        <v>4604.6000000000004</v>
      </c>
      <c r="Y94" s="156" t="s">
        <v>244</v>
      </c>
      <c r="Z94" t="str">
        <f t="shared" ca="1" si="41"/>
        <v>RA</v>
      </c>
      <c r="AA94" s="157">
        <f ca="1">IF($C94="S",IF($Z94="CP",$X94,IF($Z94="RA",(($X94)*QCI!$AA$3),0)),SomaAgrup)</f>
        <v>4604.6000000000004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str">
        <f t="shared" ca="1" si="44"/>
        <v>SINAPI-I 25976</v>
      </c>
      <c r="AF94" s="160">
        <f t="shared" ca="1" si="45"/>
        <v>8276</v>
      </c>
      <c r="AG94" s="550">
        <f t="shared" ca="1" si="46"/>
        <v>351.32</v>
      </c>
      <c r="AH94" s="551">
        <f t="shared" ca="1" si="47"/>
        <v>0.27110000000000001</v>
      </c>
      <c r="AJ94" s="553">
        <v>11.5</v>
      </c>
      <c r="AL94" s="574"/>
      <c r="AM94" s="431">
        <f t="shared" ca="1" si="48"/>
        <v>4604.6000000000004</v>
      </c>
      <c r="AN94" s="617">
        <f t="shared" ca="1" si="49"/>
        <v>400.4</v>
      </c>
    </row>
    <row r="95" spans="1:40" ht="25.5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9</v>
      </c>
      <c r="G95">
        <f t="shared" ca="1" si="30"/>
        <v>0</v>
      </c>
      <c r="H95">
        <f t="shared" ca="1" si="31"/>
        <v>0</v>
      </c>
      <c r="I95">
        <f t="shared" ca="1" si="32"/>
        <v>2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>F</v>
      </c>
      <c r="M95" s="145" t="s">
        <v>198</v>
      </c>
      <c r="N95" s="146" t="str">
        <f t="shared" ca="1" si="35"/>
        <v>Serviço</v>
      </c>
      <c r="O95" s="147" t="str">
        <f t="shared" ca="1" si="36"/>
        <v>1.9.2.</v>
      </c>
      <c r="P95" s="148" t="s">
        <v>246</v>
      </c>
      <c r="Q95" s="149" t="s">
        <v>484</v>
      </c>
      <c r="R95" s="150" t="str">
        <f t="shared" ca="1" si="37"/>
        <v>BANCADA DE MÁRMORE BRANCO POLIDO, DE 1,50 X 0,60 M, PARA PIA DE COZINHA - FORNECIMENTO E INSTALAÇÃO. AF_01/2020</v>
      </c>
      <c r="S95" s="151" t="str">
        <f t="shared" ca="1" si="38"/>
        <v>UN</v>
      </c>
      <c r="T95" s="152">
        <f ca="1">OFFSET(CÁLCULO!H$15,ROW($T95)-ROW(T$15),0)</f>
        <v>1</v>
      </c>
      <c r="U95" s="153">
        <v>382.3</v>
      </c>
      <c r="V95" s="154" t="s">
        <v>155</v>
      </c>
      <c r="W95" s="152">
        <f t="shared" ca="1" si="39"/>
        <v>485.94</v>
      </c>
      <c r="X95" s="155">
        <f t="shared" ca="1" si="40"/>
        <v>485.94</v>
      </c>
      <c r="Y95" s="156" t="s">
        <v>244</v>
      </c>
      <c r="Z95" t="str">
        <f t="shared" ca="1" si="41"/>
        <v>RA</v>
      </c>
      <c r="AA95" s="157">
        <f ca="1">IF($C95="S",IF($Z95="CP",$X95,IF($Z95="RA",(($X95)*QCI!$AA$3),0)),SomaAgrup)</f>
        <v>485.94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str">
        <f t="shared" ca="1" si="44"/>
        <v>SINAPI 86893</v>
      </c>
      <c r="AF95" s="160">
        <f t="shared" ca="1" si="45"/>
        <v>4389</v>
      </c>
      <c r="AG95" s="550">
        <f t="shared" ca="1" si="46"/>
        <v>390.97</v>
      </c>
      <c r="AH95" s="551">
        <f t="shared" ca="1" si="47"/>
        <v>0.27110000000000001</v>
      </c>
      <c r="AJ95" s="553">
        <v>1</v>
      </c>
      <c r="AL95" s="574"/>
      <c r="AM95" s="431">
        <f t="shared" ca="1" si="48"/>
        <v>485.94</v>
      </c>
      <c r="AN95" s="617">
        <f t="shared" ca="1" si="49"/>
        <v>485.94</v>
      </c>
    </row>
    <row r="96" spans="1:40" ht="25.5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9</v>
      </c>
      <c r="G96">
        <f t="shared" ca="1" si="30"/>
        <v>0</v>
      </c>
      <c r="H96">
        <f t="shared" ca="1" si="31"/>
        <v>0</v>
      </c>
      <c r="I96">
        <f t="shared" ca="1" si="32"/>
        <v>3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>F</v>
      </c>
      <c r="M96" s="145" t="s">
        <v>198</v>
      </c>
      <c r="N96" s="146" t="str">
        <f t="shared" ca="1" si="35"/>
        <v>Serviço</v>
      </c>
      <c r="O96" s="147" t="str">
        <f t="shared" ca="1" si="36"/>
        <v>1.9.3.</v>
      </c>
      <c r="P96" s="148" t="s">
        <v>246</v>
      </c>
      <c r="Q96" s="149" t="s">
        <v>485</v>
      </c>
      <c r="R96" s="150" t="str">
        <f t="shared" ca="1" si="37"/>
        <v>TANQUE DE LOUÇA BRANCA SUSPENSO, 18L OU EQUIVALENTE - FORNECIMENTO E INSTALAÇÃO. AF_01/2020</v>
      </c>
      <c r="S96" s="151" t="str">
        <f t="shared" ca="1" si="38"/>
        <v>UN</v>
      </c>
      <c r="T96" s="152">
        <f ca="1">OFFSET(CÁLCULO!H$15,ROW($T96)-ROW(T$15),0)</f>
        <v>1</v>
      </c>
      <c r="U96" s="153">
        <v>422.55</v>
      </c>
      <c r="V96" s="154" t="s">
        <v>155</v>
      </c>
      <c r="W96" s="152">
        <f t="shared" ca="1" si="39"/>
        <v>537.1</v>
      </c>
      <c r="X96" s="155">
        <f t="shared" ca="1" si="40"/>
        <v>537.1</v>
      </c>
      <c r="Y96" s="156" t="s">
        <v>244</v>
      </c>
      <c r="Z96" t="str">
        <f t="shared" ca="1" si="41"/>
        <v>RA</v>
      </c>
      <c r="AA96" s="157">
        <f ca="1">IF($C96="S",IF($Z96="CP",$X96,IF($Z96="RA",(($X96)*QCI!$AA$3),0)),SomaAgrup)</f>
        <v>537.1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str">
        <f t="shared" ca="1" si="44"/>
        <v>SINAPI 86874</v>
      </c>
      <c r="AF96" s="160">
        <f t="shared" ca="1" si="45"/>
        <v>4373</v>
      </c>
      <c r="AG96" s="550">
        <f t="shared" ca="1" si="46"/>
        <v>422.55</v>
      </c>
      <c r="AH96" s="551">
        <f t="shared" ca="1" si="47"/>
        <v>0.27110000000000001</v>
      </c>
      <c r="AJ96" s="553">
        <v>1</v>
      </c>
      <c r="AL96" s="574"/>
      <c r="AM96" s="431">
        <f t="shared" ca="1" si="48"/>
        <v>537.1</v>
      </c>
      <c r="AN96" s="617">
        <f t="shared" ca="1" si="49"/>
        <v>537.1</v>
      </c>
    </row>
    <row r="97" spans="1:40" ht="63.75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9</v>
      </c>
      <c r="G97">
        <f t="shared" ca="1" si="30"/>
        <v>0</v>
      </c>
      <c r="H97">
        <f t="shared" ca="1" si="31"/>
        <v>0</v>
      </c>
      <c r="I97">
        <f t="shared" ca="1" si="32"/>
        <v>4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>F</v>
      </c>
      <c r="M97" s="145" t="s">
        <v>198</v>
      </c>
      <c r="N97" s="146" t="str">
        <f t="shared" ca="1" si="35"/>
        <v>Serviço</v>
      </c>
      <c r="O97" s="147" t="str">
        <f t="shared" ca="1" si="36"/>
        <v>1.9.4.</v>
      </c>
      <c r="P97" s="148" t="s">
        <v>246</v>
      </c>
      <c r="Q97" s="149" t="s">
        <v>486</v>
      </c>
      <c r="R97" s="150" t="str">
        <f t="shared" ca="1" si="37"/>
        <v>BANCADA DE MÁRMORE SINTÉTICO 120 X 60CM, COM CUBA INTEGRADA, INCLUSO SIFÃO TIPO FLEXÍVEL EM PVC, VÁLVULA EM PLÁSTICO CROMADO TIPO AMERICANA E TORNEIRA CROMADA LONGA, DE PAREDE, PADRÃO POPULAR - FORNECIMENTO E INSTALAÇÃO. AF_01/2020</v>
      </c>
      <c r="S97" s="151" t="str">
        <f t="shared" ca="1" si="38"/>
        <v>UN</v>
      </c>
      <c r="T97" s="152">
        <f ca="1">OFFSET(CÁLCULO!H$15,ROW($T97)-ROW(T$15),0)</f>
        <v>2</v>
      </c>
      <c r="U97" s="153">
        <v>268.94</v>
      </c>
      <c r="V97" s="154" t="s">
        <v>155</v>
      </c>
      <c r="W97" s="152">
        <f t="shared" ca="1" si="39"/>
        <v>341.85</v>
      </c>
      <c r="X97" s="155">
        <f t="shared" ca="1" si="40"/>
        <v>683.7</v>
      </c>
      <c r="Y97" s="156" t="s">
        <v>244</v>
      </c>
      <c r="Z97" t="str">
        <f t="shared" ca="1" si="41"/>
        <v>RA</v>
      </c>
      <c r="AA97" s="157">
        <f ca="1">IF($C97="S",IF($Z97="CP",$X97,IF($Z97="RA",(($X97)*QCI!$AA$3),0)),SomaAgrup)</f>
        <v>683.7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str">
        <f t="shared" ca="1" si="44"/>
        <v>SINAPI 86934</v>
      </c>
      <c r="AF97" s="160">
        <f t="shared" ca="1" si="45"/>
        <v>4423</v>
      </c>
      <c r="AG97" s="550">
        <f t="shared" ca="1" si="46"/>
        <v>268.94</v>
      </c>
      <c r="AH97" s="551">
        <f t="shared" ca="1" si="47"/>
        <v>0.27110000000000001</v>
      </c>
      <c r="AJ97" s="553">
        <v>2</v>
      </c>
      <c r="AL97" s="574"/>
      <c r="AM97" s="431">
        <f t="shared" ca="1" si="48"/>
        <v>683.7</v>
      </c>
      <c r="AN97" s="617">
        <f t="shared" ca="1" si="49"/>
        <v>341.85</v>
      </c>
    </row>
    <row r="98" spans="1:40" ht="63.75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9</v>
      </c>
      <c r="G98">
        <f t="shared" ca="1" si="30"/>
        <v>0</v>
      </c>
      <c r="H98">
        <f t="shared" ca="1" si="31"/>
        <v>0</v>
      </c>
      <c r="I98">
        <f t="shared" ca="1" si="32"/>
        <v>5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>F</v>
      </c>
      <c r="M98" s="145" t="s">
        <v>198</v>
      </c>
      <c r="N98" s="146" t="str">
        <f t="shared" ca="1" si="35"/>
        <v>Serviço</v>
      </c>
      <c r="O98" s="147" t="str">
        <f t="shared" ca="1" si="36"/>
        <v>1.9.5.</v>
      </c>
      <c r="P98" s="148" t="s">
        <v>246</v>
      </c>
      <c r="Q98" s="149" t="s">
        <v>500</v>
      </c>
      <c r="R98" s="150" t="str">
        <f t="shared" ca="1" si="37"/>
        <v>GUARDA-CORPO DE AÇO GALVANIZADO DE 1,10M DE ALTURA, MONTANTES TUBULARES DE 1.1/2 ESPAÇADOS DE 1,20M, TRAVESSA SUPERIOR DE 2, GRADIL FORMADO POR BARRAS CHATAS EM FERRO DE 32X4,8MM, FIXADO COM CHUMBADOR MECÂNICO. AF_04/2019_P</v>
      </c>
      <c r="S98" s="151" t="str">
        <f t="shared" ca="1" si="38"/>
        <v>M</v>
      </c>
      <c r="T98" s="152">
        <f ca="1">OFFSET(CÁLCULO!H$15,ROW($T98)-ROW(T$15),0)</f>
        <v>7</v>
      </c>
      <c r="U98" s="153">
        <v>260.13</v>
      </c>
      <c r="V98" s="154" t="s">
        <v>155</v>
      </c>
      <c r="W98" s="152">
        <f t="shared" ca="1" si="39"/>
        <v>330.65</v>
      </c>
      <c r="X98" s="155">
        <f t="shared" ca="1" si="40"/>
        <v>2314.5500000000002</v>
      </c>
      <c r="Y98" s="156" t="s">
        <v>244</v>
      </c>
      <c r="Z98" t="str">
        <f t="shared" ca="1" si="41"/>
        <v>RA</v>
      </c>
      <c r="AA98" s="157">
        <f ca="1">IF($C98="S",IF($Z98="CP",$X98,IF($Z98="RA",(($X98)*QCI!$AA$3),0)),SomaAgrup)</f>
        <v>2314.5500000000002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str">
        <f t="shared" ca="1" si="44"/>
        <v>SINAPI 99839</v>
      </c>
      <c r="AF98" s="160">
        <f t="shared" ca="1" si="45"/>
        <v>1799</v>
      </c>
      <c r="AG98" s="550">
        <f t="shared" ca="1" si="46"/>
        <v>336.58</v>
      </c>
      <c r="AH98" s="551">
        <f t="shared" ca="1" si="47"/>
        <v>0.27110000000000001</v>
      </c>
      <c r="AJ98" s="553">
        <v>7</v>
      </c>
      <c r="AL98" s="574"/>
      <c r="AM98" s="431">
        <f t="shared" ca="1" si="48"/>
        <v>2314.5500000000002</v>
      </c>
      <c r="AN98" s="617">
        <f t="shared" ca="1" si="49"/>
        <v>330.65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9</v>
      </c>
      <c r="G99">
        <f t="shared" ca="1" si="30"/>
        <v>0</v>
      </c>
      <c r="H99">
        <f t="shared" ca="1" si="31"/>
        <v>0</v>
      </c>
      <c r="I99">
        <f t="shared" ca="1" si="32"/>
        <v>5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0.27110000000000001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9</v>
      </c>
      <c r="G100">
        <f t="shared" ca="1" si="30"/>
        <v>0</v>
      </c>
      <c r="H100">
        <f t="shared" ca="1" si="31"/>
        <v>0</v>
      </c>
      <c r="I100">
        <f t="shared" ca="1" si="32"/>
        <v>5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0.27110000000000001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x14ac:dyDescent="0.2">
      <c r="A101">
        <f t="shared" si="25"/>
        <v>2</v>
      </c>
      <c r="B101">
        <f t="shared" ca="1" si="26"/>
        <v>2</v>
      </c>
      <c r="C101">
        <f t="shared" ca="1" si="27"/>
        <v>2</v>
      </c>
      <c r="D101">
        <f t="shared" ca="1" si="28"/>
        <v>17</v>
      </c>
      <c r="E101">
        <f ca="1">IF($C101=1,OFFSET(E101,-1,0)+MAX(1,COUNTIF(QCI!$A$13:$A$24,OFFSET(ORÇAMENTO!E101,-1,0))),OFFSET(E101,-1,0))</f>
        <v>1</v>
      </c>
      <c r="F101">
        <f t="shared" ca="1" si="29"/>
        <v>10</v>
      </c>
      <c r="G101">
        <f t="shared" ca="1" si="30"/>
        <v>0</v>
      </c>
      <c r="H101">
        <f t="shared" ca="1" si="31"/>
        <v>0</v>
      </c>
      <c r="I101">
        <f t="shared" ca="1" si="32"/>
        <v>0</v>
      </c>
      <c r="J101">
        <f t="shared" ca="1" si="33"/>
        <v>165</v>
      </c>
      <c r="K101">
        <f ca="1">IF(OR($C101="S",$C101=0),0,MATCH(OFFSET($D101,0,$C101)+IF($C101&lt;&gt;1,1,COUNTIF(QCI!$A$13:$A$24,ORÇAMENTO!E101)),OFFSET($D101,1,$C101,ROW($C$266)-ROW($C101)),0))</f>
        <v>17</v>
      </c>
      <c r="L101" s="144" t="str">
        <f t="shared" ca="1" si="34"/>
        <v>F</v>
      </c>
      <c r="M101" s="145" t="s">
        <v>195</v>
      </c>
      <c r="N101" s="146" t="str">
        <f t="shared" ca="1" si="35"/>
        <v>Nível 2</v>
      </c>
      <c r="O101" s="147" t="str">
        <f t="shared" ca="1" si="36"/>
        <v>1.10.</v>
      </c>
      <c r="P101" s="148" t="s">
        <v>246</v>
      </c>
      <c r="Q101" s="149"/>
      <c r="R101" s="150" t="str">
        <f ca="1">IF($C101="S",REFERENCIA.Descricao,"ESQUADRIAS")</f>
        <v>ESQUADRIAS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14885.75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14885.75</v>
      </c>
      <c r="AB101" s="158">
        <f t="shared" ca="1" si="42"/>
        <v>0</v>
      </c>
      <c r="AC101" s="159" t="str">
        <f t="shared" ca="1" si="43"/>
        <v/>
      </c>
      <c r="AD101" s="105">
        <f ca="1">IF(C101&lt;=CRONO.NivelExibicao,MAX($AD$15:OFFSET(AD101,-1,0))+IF($C101&lt;&gt;1,1,MAX(1,COUNTIF(QCI!$A$13:$A$24,OFFSET($E101,-1,0)))),"")</f>
        <v>11</v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0.27110000000000001</v>
      </c>
      <c r="AJ101" s="553"/>
      <c r="AL101" s="574"/>
      <c r="AM101" s="431">
        <f t="shared" ca="1" si="48"/>
        <v>14885.75</v>
      </c>
      <c r="AN101" s="617">
        <f t="shared" ca="1" si="49"/>
        <v>0</v>
      </c>
    </row>
    <row r="102" spans="1:40" ht="63.75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10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>F</v>
      </c>
      <c r="M102" s="145" t="s">
        <v>198</v>
      </c>
      <c r="N102" s="146" t="str">
        <f t="shared" ca="1" si="35"/>
        <v>Serviço</v>
      </c>
      <c r="O102" s="147" t="str">
        <f t="shared" ca="1" si="36"/>
        <v>1.10.1.</v>
      </c>
      <c r="P102" s="148" t="s">
        <v>246</v>
      </c>
      <c r="Q102" s="149" t="s">
        <v>477</v>
      </c>
      <c r="R102" s="150" t="str">
        <f t="shared" ca="1" si="37"/>
        <v>KIT DE PORTA DE MADEIRA FRISADA, SEMI-OCA (LEVE OU MÉDIA), PADRÃO MÉDIO, 80X210CM, ESPESSURA DE 3,5CM, ITENS INCLUSOS: DOBRADIÇAS, MONTAGEM E INSTALAÇÃO DE BATENTE, FECHADURA COM EXECUÇÃO DO FURO - FORNECIMENTO E INSTALAÇÃO. AF_12/2019</v>
      </c>
      <c r="S102" s="151" t="str">
        <f t="shared" ca="1" si="38"/>
        <v>UN</v>
      </c>
      <c r="T102" s="152">
        <f ca="1">OFFSET(CÁLCULO!H$15,ROW($T102)-ROW(T$15),0)</f>
        <v>7</v>
      </c>
      <c r="U102" s="153">
        <v>700.3</v>
      </c>
      <c r="V102" s="154" t="s">
        <v>155</v>
      </c>
      <c r="W102" s="152">
        <f t="shared" ca="1" si="39"/>
        <v>890.15</v>
      </c>
      <c r="X102" s="155">
        <f t="shared" ca="1" si="40"/>
        <v>6231.05</v>
      </c>
      <c r="Y102" s="156" t="s">
        <v>244</v>
      </c>
      <c r="Z102" t="str">
        <f t="shared" ca="1" si="41"/>
        <v>RA</v>
      </c>
      <c r="AA102" s="157">
        <f ca="1">IF($C102="S",IF($Z102="CP",$X102,IF($Z102="RA",(($X102)*QCI!$AA$3),0)),SomaAgrup)</f>
        <v>6231.05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str">
        <f t="shared" ca="1" si="44"/>
        <v>SINAPI 100689</v>
      </c>
      <c r="AF102" s="160">
        <f t="shared" ca="1" si="45"/>
        <v>1770</v>
      </c>
      <c r="AG102" s="550">
        <f t="shared" ca="1" si="46"/>
        <v>771.61</v>
      </c>
      <c r="AH102" s="551">
        <f t="shared" ca="1" si="47"/>
        <v>0.27110000000000001</v>
      </c>
      <c r="AJ102" s="553">
        <v>7</v>
      </c>
      <c r="AL102" s="574"/>
      <c r="AM102" s="431">
        <f t="shared" ca="1" si="48"/>
        <v>6231.05</v>
      </c>
      <c r="AN102" s="617">
        <f t="shared" ca="1" si="49"/>
        <v>890.15</v>
      </c>
    </row>
    <row r="103" spans="1:40" ht="5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10</v>
      </c>
      <c r="G103">
        <f t="shared" ca="1" si="30"/>
        <v>0</v>
      </c>
      <c r="H103">
        <f t="shared" ca="1" si="31"/>
        <v>0</v>
      </c>
      <c r="I103">
        <f t="shared" ca="1" si="32"/>
        <v>2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>F</v>
      </c>
      <c r="M103" s="145" t="s">
        <v>198</v>
      </c>
      <c r="N103" s="146" t="str">
        <f t="shared" ca="1" si="35"/>
        <v>Serviço</v>
      </c>
      <c r="O103" s="147" t="str">
        <f t="shared" ca="1" si="36"/>
        <v>1.10.2.</v>
      </c>
      <c r="P103" s="148" t="s">
        <v>246</v>
      </c>
      <c r="Q103" s="149" t="s">
        <v>478</v>
      </c>
      <c r="R103" s="150" t="str">
        <f t="shared" ca="1" si="37"/>
        <v>JANELA DE ALUMÍNIO DE CORRER COM 2 FOLHAS PARA VIDROS, COM VIDROS, BATENTE, ACABAMENTO COM ACETATO OU BRILHANTE E FERRAGENS. EXCLUSIVE ALIZAR E CONTRAMARCO. FORNECIMENTO E INSTALAÇÃO. AF_12/2019</v>
      </c>
      <c r="S103" s="151" t="str">
        <f t="shared" ca="1" si="38"/>
        <v>M2</v>
      </c>
      <c r="T103" s="152">
        <f ca="1">OFFSET(CÁLCULO!H$15,ROW($T103)-ROW(T$15),0)</f>
        <v>13.76</v>
      </c>
      <c r="U103" s="153">
        <v>220</v>
      </c>
      <c r="V103" s="154" t="s">
        <v>155</v>
      </c>
      <c r="W103" s="152">
        <f t="shared" ca="1" si="39"/>
        <v>279.64</v>
      </c>
      <c r="X103" s="155">
        <f t="shared" ca="1" si="40"/>
        <v>3847.85</v>
      </c>
      <c r="Y103" s="156" t="s">
        <v>244</v>
      </c>
      <c r="Z103" t="str">
        <f t="shared" ca="1" si="41"/>
        <v>RA</v>
      </c>
      <c r="AA103" s="157">
        <f ca="1">IF($C103="S",IF($Z103="CP",$X103,IF($Z103="RA",(($X103)*QCI!$AA$3),0)),SomaAgrup)</f>
        <v>3847.85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str">
        <f t="shared" ca="1" si="44"/>
        <v>SINAPI 94570</v>
      </c>
      <c r="AF103" s="160">
        <f t="shared" ca="1" si="45"/>
        <v>1841</v>
      </c>
      <c r="AG103" s="550">
        <f t="shared" ca="1" si="46"/>
        <v>247.35</v>
      </c>
      <c r="AH103" s="551">
        <f t="shared" ca="1" si="47"/>
        <v>0.27110000000000001</v>
      </c>
      <c r="AJ103" s="553">
        <v>13.76</v>
      </c>
      <c r="AL103" s="574"/>
      <c r="AM103" s="431">
        <f t="shared" ca="1" si="48"/>
        <v>3847.85</v>
      </c>
      <c r="AN103" s="617">
        <f t="shared" ca="1" si="49"/>
        <v>279.64</v>
      </c>
    </row>
    <row r="104" spans="1:40" ht="38.25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10</v>
      </c>
      <c r="G104">
        <f t="shared" ca="1" si="30"/>
        <v>0</v>
      </c>
      <c r="H104">
        <f t="shared" ca="1" si="31"/>
        <v>0</v>
      </c>
      <c r="I104">
        <f t="shared" ca="1" si="32"/>
        <v>3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>F</v>
      </c>
      <c r="M104" s="145" t="s">
        <v>198</v>
      </c>
      <c r="N104" s="146" t="str">
        <f t="shared" ca="1" si="35"/>
        <v>Serviço</v>
      </c>
      <c r="O104" s="147" t="str">
        <f t="shared" ca="1" si="36"/>
        <v>1.10.3.</v>
      </c>
      <c r="P104" s="148" t="s">
        <v>451</v>
      </c>
      <c r="Q104" s="149" t="s">
        <v>487</v>
      </c>
      <c r="R104" s="150" t="str">
        <f t="shared" ca="1" si="37"/>
        <v>PORTAO DE CORRER EM GRADIL FIXO DE BARRA DE FERRO CHATA DE 3 X 1/4" NA VERTICAL, SEM REQUADRO, ACABAMENTO NATURAL, COM TRILHOS E ROLDANAS</v>
      </c>
      <c r="S104" s="151" t="str">
        <f t="shared" ca="1" si="38"/>
        <v xml:space="preserve">M2    </v>
      </c>
      <c r="T104" s="152">
        <f ca="1">OFFSET(CÁLCULO!H$15,ROW($T104)-ROW(T$15),0)</f>
        <v>1.89</v>
      </c>
      <c r="U104" s="153">
        <v>564.57000000000005</v>
      </c>
      <c r="V104" s="154" t="s">
        <v>155</v>
      </c>
      <c r="W104" s="152">
        <f t="shared" ca="1" si="39"/>
        <v>717.62</v>
      </c>
      <c r="X104" s="155">
        <f t="shared" ca="1" si="40"/>
        <v>1356.3</v>
      </c>
      <c r="Y104" s="156" t="s">
        <v>244</v>
      </c>
      <c r="Z104" t="str">
        <f t="shared" ca="1" si="41"/>
        <v>RA</v>
      </c>
      <c r="AA104" s="157">
        <f ca="1">IF($C104="S",IF($Z104="CP",$X104,IF($Z104="RA",(($X104)*QCI!$AA$3),0)),SomaAgrup)</f>
        <v>1356.3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str">
        <f t="shared" ca="1" si="44"/>
        <v>SINAPI-I 37562</v>
      </c>
      <c r="AF104" s="160">
        <f t="shared" ca="1" si="45"/>
        <v>10158</v>
      </c>
      <c r="AG104" s="550">
        <f t="shared" ca="1" si="46"/>
        <v>564.57000000000005</v>
      </c>
      <c r="AH104" s="551">
        <f t="shared" ca="1" si="47"/>
        <v>0.27110000000000001</v>
      </c>
      <c r="AJ104" s="553">
        <v>1.89</v>
      </c>
      <c r="AL104" s="574"/>
      <c r="AM104" s="431">
        <f t="shared" ca="1" si="48"/>
        <v>1356.3</v>
      </c>
      <c r="AN104" s="617">
        <f t="shared" ca="1" si="49"/>
        <v>717.62</v>
      </c>
    </row>
    <row r="105" spans="1:40" ht="38.25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10</v>
      </c>
      <c r="G105">
        <f t="shared" ca="1" si="30"/>
        <v>0</v>
      </c>
      <c r="H105">
        <f t="shared" ca="1" si="31"/>
        <v>0</v>
      </c>
      <c r="I105">
        <f t="shared" ca="1" si="32"/>
        <v>4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>F</v>
      </c>
      <c r="M105" s="145" t="s">
        <v>198</v>
      </c>
      <c r="N105" s="146" t="str">
        <f t="shared" ca="1" si="35"/>
        <v>Serviço</v>
      </c>
      <c r="O105" s="147" t="str">
        <f t="shared" ca="1" si="36"/>
        <v>1.10.4.</v>
      </c>
      <c r="P105" s="148" t="s">
        <v>246</v>
      </c>
      <c r="Q105" s="149" t="s">
        <v>496</v>
      </c>
      <c r="R105" s="150" t="str">
        <f t="shared" ca="1" si="37"/>
        <v>PORTA EM ALUMÍNIO DE ABRIR TIPO VENEZIANA COM GUARNIÇÃO, FIXAÇÃO COM PARAFUSOS - FORNECIMENTO E INSTALAÇÃO. AF_12/2019</v>
      </c>
      <c r="S105" s="151" t="str">
        <f t="shared" ca="1" si="38"/>
        <v>M2</v>
      </c>
      <c r="T105" s="152">
        <f ca="1">OFFSET(CÁLCULO!H$15,ROW($T105)-ROW(T$15),0)</f>
        <v>7.14</v>
      </c>
      <c r="U105" s="153">
        <v>380.2</v>
      </c>
      <c r="V105" s="154" t="s">
        <v>155</v>
      </c>
      <c r="W105" s="152">
        <f t="shared" ca="1" si="39"/>
        <v>483.27</v>
      </c>
      <c r="X105" s="155">
        <f t="shared" ca="1" si="40"/>
        <v>3450.55</v>
      </c>
      <c r="Y105" s="156" t="s">
        <v>244</v>
      </c>
      <c r="Z105" t="str">
        <f t="shared" ca="1" si="41"/>
        <v>RA</v>
      </c>
      <c r="AA105" s="157">
        <f ca="1">IF($C105="S",IF($Z105="CP",$X105,IF($Z105="RA",(($X105)*QCI!$AA$3),0)),SomaAgrup)</f>
        <v>3450.55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str">
        <f t="shared" ca="1" si="44"/>
        <v>SINAPI 91341</v>
      </c>
      <c r="AF105" s="160">
        <f t="shared" ca="1" si="45"/>
        <v>1809</v>
      </c>
      <c r="AG105" s="550">
        <f t="shared" ca="1" si="46"/>
        <v>424.26</v>
      </c>
      <c r="AH105" s="551">
        <f t="shared" ca="1" si="47"/>
        <v>0.27110000000000001</v>
      </c>
      <c r="AJ105" s="553">
        <v>7.14</v>
      </c>
      <c r="AL105" s="574"/>
      <c r="AM105" s="431">
        <f t="shared" ca="1" si="48"/>
        <v>3450.55</v>
      </c>
      <c r="AN105" s="617">
        <f t="shared" ca="1" si="49"/>
        <v>483.27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10</v>
      </c>
      <c r="G106">
        <f t="shared" ca="1" si="30"/>
        <v>0</v>
      </c>
      <c r="H106">
        <f t="shared" ca="1" si="31"/>
        <v>0</v>
      </c>
      <c r="I106">
        <f t="shared" ca="1" si="32"/>
        <v>4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0.27110000000000001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10</v>
      </c>
      <c r="G107">
        <f t="shared" ca="1" si="30"/>
        <v>0</v>
      </c>
      <c r="H107">
        <f t="shared" ca="1" si="31"/>
        <v>0</v>
      </c>
      <c r="I107">
        <f t="shared" ca="1" si="32"/>
        <v>4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0.27110000000000001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10</v>
      </c>
      <c r="G108">
        <f t="shared" ca="1" si="30"/>
        <v>0</v>
      </c>
      <c r="H108">
        <f t="shared" ca="1" si="31"/>
        <v>0</v>
      </c>
      <c r="I108">
        <f t="shared" ca="1" si="32"/>
        <v>4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0.27110000000000001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10</v>
      </c>
      <c r="G109">
        <f t="shared" ca="1" si="30"/>
        <v>0</v>
      </c>
      <c r="H109">
        <f t="shared" ca="1" si="31"/>
        <v>0</v>
      </c>
      <c r="I109">
        <f t="shared" ca="1" si="32"/>
        <v>4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0.27110000000000001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10</v>
      </c>
      <c r="G110">
        <f t="shared" ca="1" si="30"/>
        <v>0</v>
      </c>
      <c r="H110">
        <f t="shared" ca="1" si="31"/>
        <v>0</v>
      </c>
      <c r="I110">
        <f t="shared" ca="1" si="32"/>
        <v>4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0.27110000000000001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10</v>
      </c>
      <c r="G111">
        <f t="shared" ca="1" si="30"/>
        <v>0</v>
      </c>
      <c r="H111">
        <f t="shared" ca="1" si="31"/>
        <v>0</v>
      </c>
      <c r="I111">
        <f t="shared" ca="1" si="32"/>
        <v>4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0.27110000000000001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10</v>
      </c>
      <c r="G112">
        <f t="shared" ca="1" si="30"/>
        <v>0</v>
      </c>
      <c r="H112">
        <f t="shared" ca="1" si="31"/>
        <v>0</v>
      </c>
      <c r="I112">
        <f t="shared" ca="1" si="32"/>
        <v>4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0.27110000000000001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10</v>
      </c>
      <c r="G113">
        <f t="shared" ca="1" si="30"/>
        <v>0</v>
      </c>
      <c r="H113">
        <f t="shared" ca="1" si="31"/>
        <v>0</v>
      </c>
      <c r="I113">
        <f t="shared" ca="1" si="32"/>
        <v>4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0.27110000000000001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10</v>
      </c>
      <c r="G114">
        <f t="shared" ca="1" si="30"/>
        <v>0</v>
      </c>
      <c r="H114">
        <f t="shared" ca="1" si="31"/>
        <v>0</v>
      </c>
      <c r="I114">
        <f t="shared" ca="1" si="32"/>
        <v>4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0.27110000000000001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10</v>
      </c>
      <c r="G115">
        <f t="shared" ca="1" si="30"/>
        <v>0</v>
      </c>
      <c r="H115">
        <f t="shared" ca="1" si="31"/>
        <v>0</v>
      </c>
      <c r="I115">
        <f t="shared" ca="1" si="32"/>
        <v>4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0.27110000000000001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10</v>
      </c>
      <c r="G116">
        <f t="shared" ca="1" si="30"/>
        <v>0</v>
      </c>
      <c r="H116">
        <f t="shared" ca="1" si="31"/>
        <v>0</v>
      </c>
      <c r="I116">
        <f t="shared" ca="1" si="32"/>
        <v>4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0.27110000000000001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10</v>
      </c>
      <c r="G117">
        <f t="shared" ca="1" si="30"/>
        <v>0</v>
      </c>
      <c r="H117">
        <f t="shared" ca="1" si="31"/>
        <v>0</v>
      </c>
      <c r="I117">
        <f t="shared" ca="1" si="32"/>
        <v>4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0.27110000000000001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x14ac:dyDescent="0.2">
      <c r="A118">
        <f t="shared" si="25"/>
        <v>2</v>
      </c>
      <c r="B118">
        <f t="shared" ca="1" si="26"/>
        <v>2</v>
      </c>
      <c r="C118">
        <f t="shared" ca="1" si="27"/>
        <v>2</v>
      </c>
      <c r="D118">
        <f t="shared" ca="1" si="28"/>
        <v>148</v>
      </c>
      <c r="E118">
        <f ca="1">IF($C118=1,OFFSET(E118,-1,0)+MAX(1,COUNTIF(QCI!$A$13:$A$24,OFFSET(ORÇAMENTO!E118,-1,0))),OFFSET(E118,-1,0))</f>
        <v>1</v>
      </c>
      <c r="F118">
        <f t="shared" ca="1" si="29"/>
        <v>11</v>
      </c>
      <c r="G118">
        <f t="shared" ca="1" si="30"/>
        <v>0</v>
      </c>
      <c r="H118">
        <f t="shared" ca="1" si="31"/>
        <v>0</v>
      </c>
      <c r="I118">
        <f t="shared" ca="1" si="32"/>
        <v>0</v>
      </c>
      <c r="J118">
        <f t="shared" ca="1" si="33"/>
        <v>148</v>
      </c>
      <c r="K118" t="e">
        <f ca="1">IF(OR($C118="S",$C118=0),0,MATCH(OFFSET($D118,0,$C118)+IF($C118&lt;&gt;1,1,COUNTIF(QCI!$A$13:$A$24,ORÇAMENTO!E118)),OFFSET($D118,1,$C118,ROW($C$266)-ROW($C118)),0))</f>
        <v>#N/A</v>
      </c>
      <c r="L118" s="144" t="str">
        <f t="shared" ca="1" si="34"/>
        <v>F</v>
      </c>
      <c r="M118" s="145" t="s">
        <v>195</v>
      </c>
      <c r="N118" s="146" t="str">
        <f t="shared" ca="1" si="35"/>
        <v>Nível 2</v>
      </c>
      <c r="O118" s="147" t="str">
        <f t="shared" ca="1" si="36"/>
        <v>1.11.</v>
      </c>
      <c r="P118" s="148" t="s">
        <v>246</v>
      </c>
      <c r="Q118" s="149"/>
      <c r="R118" s="150" t="str">
        <f ca="1">IF($C118="S",REFERENCIA.Descricao,"SERVIÇOS FINAIS")</f>
        <v>SERVIÇOS FINAIS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210.1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210.1</v>
      </c>
      <c r="AB118" s="158">
        <f t="shared" ca="1" si="42"/>
        <v>0</v>
      </c>
      <c r="AC118" s="159" t="str">
        <f t="shared" ca="1" si="43"/>
        <v/>
      </c>
      <c r="AD118" s="105">
        <f ca="1">IF(C118&lt;=CRONO.NivelExibicao,MAX($AD$15:OFFSET(AD118,-1,0))+IF($C118&lt;&gt;1,1,MAX(1,COUNTIF(QCI!$A$13:$A$24,OFFSET($E118,-1,0)))),"")</f>
        <v>12</v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0.27110000000000001</v>
      </c>
      <c r="AJ118" s="553"/>
      <c r="AL118" s="574"/>
      <c r="AM118" s="431">
        <f t="shared" ca="1" si="48"/>
        <v>210.1</v>
      </c>
      <c r="AN118" s="617">
        <f t="shared" ca="1" si="49"/>
        <v>0</v>
      </c>
    </row>
    <row r="119" spans="1:40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11</v>
      </c>
      <c r="G119">
        <f t="shared" ca="1" si="30"/>
        <v>0</v>
      </c>
      <c r="H119">
        <f t="shared" ca="1" si="31"/>
        <v>0</v>
      </c>
      <c r="I119">
        <f t="shared" ca="1" si="32"/>
        <v>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>F</v>
      </c>
      <c r="M119" s="145" t="s">
        <v>198</v>
      </c>
      <c r="N119" s="146" t="str">
        <f t="shared" ca="1" si="35"/>
        <v>Serviço</v>
      </c>
      <c r="O119" s="147" t="str">
        <f t="shared" ca="1" si="36"/>
        <v>1.11.1.</v>
      </c>
      <c r="P119" s="148" t="s">
        <v>462</v>
      </c>
      <c r="Q119" s="149" t="s">
        <v>483</v>
      </c>
      <c r="R119" s="150" t="str">
        <f t="shared" ca="1" si="37"/>
        <v>LIMPEZA FINAL DE OBRA</v>
      </c>
      <c r="S119" s="151" t="str">
        <f t="shared" ca="1" si="38"/>
        <v>M²</v>
      </c>
      <c r="T119" s="152">
        <f ca="1">OFFSET(CÁLCULO!H$15,ROW($T119)-ROW(T$15),0)</f>
        <v>110</v>
      </c>
      <c r="U119" s="153">
        <v>1.5</v>
      </c>
      <c r="V119" s="154" t="s">
        <v>155</v>
      </c>
      <c r="W119" s="152">
        <f t="shared" ca="1" si="39"/>
        <v>1.91</v>
      </c>
      <c r="X119" s="155">
        <f t="shared" ca="1" si="40"/>
        <v>210.1</v>
      </c>
      <c r="Y119" s="156" t="s">
        <v>244</v>
      </c>
      <c r="Z119" t="str">
        <f t="shared" ca="1" si="41"/>
        <v>RA</v>
      </c>
      <c r="AA119" s="157">
        <f ca="1">IF($C119="S",IF($Z119="CP",$X119,IF($Z119="RA",(($X119)*QCI!$AA$3),0)),SomaAgrup)</f>
        <v>210.1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str">
        <f t="shared" ca="1" si="44"/>
        <v>Cotação 002</v>
      </c>
      <c r="AF119" s="160">
        <f t="shared" ca="1" si="45"/>
        <v>19</v>
      </c>
      <c r="AG119" s="550">
        <f t="shared" ca="1" si="46"/>
        <v>1.5</v>
      </c>
      <c r="AH119" s="551">
        <f t="shared" ca="1" si="47"/>
        <v>0.27110000000000001</v>
      </c>
      <c r="AJ119" s="553">
        <v>110</v>
      </c>
      <c r="AL119" s="574"/>
      <c r="AM119" s="431">
        <f t="shared" ca="1" si="48"/>
        <v>210.1</v>
      </c>
      <c r="AN119" s="617">
        <f t="shared" ca="1" si="49"/>
        <v>1.91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11</v>
      </c>
      <c r="G120">
        <f t="shared" ca="1" si="30"/>
        <v>0</v>
      </c>
      <c r="H120">
        <f t="shared" ca="1" si="31"/>
        <v>0</v>
      </c>
      <c r="I120">
        <f t="shared" ca="1" si="32"/>
        <v>1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0.27110000000000001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11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0.27110000000000001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11</v>
      </c>
      <c r="G122">
        <f t="shared" ca="1" si="30"/>
        <v>0</v>
      </c>
      <c r="H122">
        <f t="shared" ca="1" si="31"/>
        <v>0</v>
      </c>
      <c r="I122">
        <f t="shared" ca="1" si="32"/>
        <v>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0.27110000000000001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11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0.27110000000000001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11</v>
      </c>
      <c r="G124">
        <f t="shared" ca="1" si="30"/>
        <v>0</v>
      </c>
      <c r="H124">
        <f t="shared" ca="1" si="31"/>
        <v>0</v>
      </c>
      <c r="I124">
        <f t="shared" ca="1" si="32"/>
        <v>1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0.27110000000000001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11</v>
      </c>
      <c r="G125">
        <f t="shared" ca="1" si="30"/>
        <v>0</v>
      </c>
      <c r="H125">
        <f t="shared" ca="1" si="31"/>
        <v>0</v>
      </c>
      <c r="I125">
        <f t="shared" ca="1" si="32"/>
        <v>1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0.27110000000000001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11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0.27110000000000001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11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0.27110000000000001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11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0.27110000000000001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11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0.27110000000000001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11</v>
      </c>
      <c r="G130">
        <f t="shared" ca="1" si="30"/>
        <v>0</v>
      </c>
      <c r="H130">
        <f t="shared" ca="1" si="31"/>
        <v>0</v>
      </c>
      <c r="I130">
        <f t="shared" ca="1" si="32"/>
        <v>1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0.27110000000000001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11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0.27110000000000001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11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0.27110000000000001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11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0.27110000000000001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11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0.27110000000000001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11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0.27110000000000001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11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0.27110000000000001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11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0.27110000000000001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11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0.27110000000000001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11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0.27110000000000001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11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0.27110000000000001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11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0.27110000000000001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11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0.27110000000000001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11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0.27110000000000001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11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0.27110000000000001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11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0.27110000000000001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11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0.27110000000000001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11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0.27110000000000001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11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0.27110000000000001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11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0.27110000000000001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11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0.27110000000000001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11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0.27110000000000001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11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0.27110000000000001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11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0.27110000000000001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11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0.27110000000000001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11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0.27110000000000001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11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0.27110000000000001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11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0.27110000000000001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11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0.27110000000000001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11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0.27110000000000001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11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0.27110000000000001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11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0.27110000000000001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11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0.27110000000000001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11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0.27110000000000001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11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0.27110000000000001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11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0.27110000000000001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11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0.27110000000000001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11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0.27110000000000001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11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0.27110000000000001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11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0.27110000000000001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11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0.27110000000000001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11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0.27110000000000001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11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0.27110000000000001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11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0.27110000000000001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11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0.27110000000000001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11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0.27110000000000001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11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0.27110000000000001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11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0.27110000000000001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11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0.27110000000000001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11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0.27110000000000001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11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0.27110000000000001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11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0.27110000000000001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11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0.27110000000000001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11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0.27110000000000001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11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0.27110000000000001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11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0.27110000000000001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11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0.27110000000000001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11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0.27110000000000001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11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0.27110000000000001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11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0.27110000000000001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11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0.27110000000000001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11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0.27110000000000001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11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0.27110000000000001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11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0.27110000000000001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11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0.27110000000000001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11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0.27110000000000001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11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0.27110000000000001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11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0.27110000000000001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11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0.27110000000000001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11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0.27110000000000001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11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0.27110000000000001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11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0.27110000000000001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11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0.27110000000000001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11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0.27110000000000001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11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0.27110000000000001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11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0.27110000000000001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11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0.27110000000000001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11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0.27110000000000001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11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0.27110000000000001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11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0.27110000000000001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11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0.27110000000000001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11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0.27110000000000001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11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0.27110000000000001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11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0.27110000000000001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11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0.27110000000000001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11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0.27110000000000001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11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0.27110000000000001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11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0.27110000000000001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11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0.27110000000000001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11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0.27110000000000001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11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0.27110000000000001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11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0.27110000000000001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11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0.27110000000000001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11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0.27110000000000001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11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0.27110000000000001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11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0.27110000000000001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11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0.27110000000000001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11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0.27110000000000001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11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0.27110000000000001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11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0.27110000000000001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11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0.27110000000000001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11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0.27110000000000001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11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0.27110000000000001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11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0.27110000000000001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11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0.27110000000000001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11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0.27110000000000001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11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0.27110000000000001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11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0.27110000000000001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11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0.27110000000000001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11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0.27110000000000001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11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0.27110000000000001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11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0.27110000000000001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11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0.27110000000000001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11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0.27110000000000001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11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0.27110000000000001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11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0.27110000000000001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11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0.27110000000000001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11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0.27110000000000001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11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0.27110000000000001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11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0.27110000000000001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11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0.27110000000000001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11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0.27110000000000001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11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0.27110000000000001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11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0.27110000000000001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11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0.27110000000000001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11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0.27110000000000001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11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0.27110000000000001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11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0.27110000000000001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11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0.27110000000000001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11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0.27110000000000001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11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0.27110000000000001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11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0.27110000000000001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11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0.27110000000000001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11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0.27110000000000001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11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0.27110000000000001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11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0.27110000000000001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695" t="s">
        <v>248</v>
      </c>
      <c r="R269" s="695"/>
      <c r="S269" s="695"/>
      <c r="T269" s="695"/>
      <c r="U269" s="695"/>
      <c r="V269" s="695"/>
      <c r="W269" s="695"/>
      <c r="X269" s="69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696"/>
      <c r="P272" s="696"/>
      <c r="Q272" s="696"/>
      <c r="R272" s="696"/>
      <c r="S272" s="696"/>
      <c r="T272" s="696"/>
      <c r="U272" s="696"/>
      <c r="V272" s="696"/>
      <c r="W272" s="696"/>
      <c r="X272" s="696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696"/>
      <c r="P273" s="696"/>
      <c r="Q273" s="696"/>
      <c r="R273" s="696"/>
      <c r="S273" s="696"/>
      <c r="T273" s="696"/>
      <c r="U273" s="696"/>
      <c r="V273" s="696"/>
      <c r="W273" s="696"/>
      <c r="X273" s="696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696"/>
      <c r="P274" s="696"/>
      <c r="Q274" s="696"/>
      <c r="R274" s="696"/>
      <c r="S274" s="696"/>
      <c r="T274" s="696"/>
      <c r="U274" s="696"/>
      <c r="V274" s="696"/>
      <c r="W274" s="696"/>
      <c r="X274" s="696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697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7"/>
      <c r="Q276" s="697"/>
      <c r="R276" s="697"/>
      <c r="S276" s="697"/>
      <c r="T276" s="697"/>
      <c r="U276" s="697"/>
      <c r="V276" s="697"/>
      <c r="W276" s="697"/>
      <c r="X276" s="697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699" t="s">
        <v>249</v>
      </c>
      <c r="P277" s="699"/>
      <c r="Q277" s="699"/>
      <c r="R277" s="699"/>
      <c r="S277" s="699"/>
      <c r="T277" s="699"/>
      <c r="U277" s="699"/>
      <c r="V277" s="699"/>
      <c r="W277" s="699"/>
      <c r="X277" s="699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698" t="str">
        <f>Import.Município</f>
        <v>CÉU AZUL</v>
      </c>
      <c r="P279" s="698"/>
      <c r="Q279" s="698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ALESSANDRO SANFELIZ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693">
        <f>DADOS!$F$25</f>
        <v>44110</v>
      </c>
      <c r="P282" s="693"/>
      <c r="Q282" s="693"/>
      <c r="R282" s="105"/>
      <c r="S282" s="95" t="s">
        <v>108</v>
      </c>
      <c r="T282" s="96" t="str">
        <v>A137617-9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algorithmName="SHA-512" hashValue="X4qX8D2JPKA9+3GtBORM2ZC7SeqDMeSkygaQrEXE9QhR4KLnlhwyKsWhbAvnz6jMP90SyDpEfnKuZEvKx/PNyg==" saltValue="euZfm8qYklbld6puICde9g==" spinCount="100000" sheet="1"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40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R25:R33 W25:X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W34:X42 R34:R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I5" sqref="I5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7" t="str">
        <f>IF(ACOMPANHAMENTO="BM","MEMÓRIA DE CÁLCULO","PLQ - PLANILHA DE LEVANTAMENTO DE QUANTIDADES")</f>
        <v>MEMÓRIA DE CÁLCULO</v>
      </c>
      <c r="G1" s="707"/>
      <c r="H1" s="707"/>
      <c r="I1" s="180"/>
      <c r="K1" s="180"/>
      <c r="L1" s="180"/>
      <c r="M1" s="181"/>
      <c r="N1" s="180"/>
      <c r="P1" s="180"/>
      <c r="Q1" s="664" t="s">
        <v>139</v>
      </c>
      <c r="R1" s="664"/>
      <c r="Y1" s="664" t="s">
        <v>139</v>
      </c>
      <c r="Z1" s="664"/>
    </row>
    <row r="2" spans="1:59" ht="15" customHeight="1" x14ac:dyDescent="0.2">
      <c r="F2" s="708" t="str">
        <f>IF(ACOMPANHAMENTO="BM","","Memória de Cálculo")&amp;" - "&amp;import.recurso</f>
        <v xml:space="preserve"> - OGU</v>
      </c>
      <c r="G2" s="708"/>
      <c r="H2" s="708"/>
      <c r="I2" s="182"/>
      <c r="K2" s="182"/>
      <c r="L2" s="182"/>
      <c r="M2" s="183"/>
      <c r="N2" s="182"/>
      <c r="P2" s="182"/>
      <c r="Q2" s="665" t="s">
        <v>142</v>
      </c>
      <c r="R2" s="665"/>
      <c r="Y2" s="665" t="s">
        <v>142</v>
      </c>
      <c r="Z2" s="665"/>
    </row>
    <row r="3" spans="1:59" ht="12.75" customHeight="1" x14ac:dyDescent="0.2"/>
    <row r="4" spans="1:59" ht="12.75" customHeight="1" x14ac:dyDescent="0.2">
      <c r="E4" s="666" t="s">
        <v>201</v>
      </c>
      <c r="F4" s="666"/>
      <c r="G4" s="666" t="s">
        <v>440</v>
      </c>
      <c r="H4" s="666"/>
      <c r="I4" s="112" t="s">
        <v>441</v>
      </c>
      <c r="K4" s="184" t="s">
        <v>146</v>
      </c>
      <c r="L4" s="185"/>
      <c r="M4" s="185"/>
      <c r="N4" s="185"/>
      <c r="O4" s="185"/>
      <c r="P4" s="185"/>
      <c r="Q4" s="185"/>
      <c r="R4" s="186"/>
      <c r="S4" s="666" t="s">
        <v>145</v>
      </c>
      <c r="T4" s="666"/>
      <c r="U4" s="666" t="s">
        <v>146</v>
      </c>
      <c r="V4" s="666"/>
      <c r="W4" s="666"/>
      <c r="X4" s="666"/>
      <c r="Y4" s="666"/>
      <c r="Z4" s="666"/>
    </row>
    <row r="5" spans="1:59" ht="12.75" customHeight="1" x14ac:dyDescent="0.2">
      <c r="E5" s="663" t="str">
        <f>Import.Apelido</f>
        <v xml:space="preserve">CONSTRUÇÃO DE CÓPA E APOIO PARA FUNCIONÁRIOS PÁTIO DE MAQUINAS
</v>
      </c>
      <c r="F5" s="663"/>
      <c r="G5" s="663">
        <f>Import.SICONV</f>
        <v>0</v>
      </c>
      <c r="H5" s="663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63">
        <f>Import.CR</f>
        <v>0</v>
      </c>
      <c r="T5" s="663"/>
      <c r="U5" s="663" t="str">
        <f>Import.Proponente</f>
        <v>MUNICIPIO DE CÉU AZUL</v>
      </c>
      <c r="V5" s="663"/>
      <c r="W5" s="663"/>
      <c r="X5" s="663"/>
      <c r="Y5" s="663"/>
      <c r="Z5" s="663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>IF(ACOMPANHAMENTO="BM",0,COUNTIF(M15:M266,0))</f>
        <v>0</v>
      </c>
      <c r="N12" s="191" t="s">
        <v>256</v>
      </c>
      <c r="O12" s="195"/>
      <c r="P12" s="192" t="s">
        <v>254</v>
      </c>
      <c r="Q12" s="592"/>
      <c r="R12" s="195"/>
      <c r="S12" s="195"/>
      <c r="T12" s="195"/>
      <c r="U12" s="195"/>
      <c r="V12" s="195"/>
      <c r="W12" s="195"/>
      <c r="X12" s="195"/>
      <c r="Y12" s="195"/>
      <c r="Z12" s="196"/>
      <c r="AA12" s="192" t="s">
        <v>254</v>
      </c>
      <c r="AB12" s="197">
        <f ca="1">OFFSET($P$12,0,AB$13)</f>
        <v>0</v>
      </c>
      <c r="AC12" s="198">
        <f t="shared" ref="AC12:AK12" ca="1" si="0">OFFSET($P$12,0,AC$13)</f>
        <v>0</v>
      </c>
      <c r="AD12" s="198">
        <f t="shared" ca="1" si="0"/>
        <v>0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>
        <f ca="1">OFFSET($P$12,0,AM$13)</f>
        <v>0</v>
      </c>
      <c r="AN12" s="198">
        <f t="shared" ref="AN12:AV12" ca="1" si="1">OFFSET($P$12,0,AN$13)</f>
        <v>0</v>
      </c>
      <c r="AO12" s="198">
        <f t="shared" ca="1" si="1"/>
        <v>0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>
        <f ca="1">OFFSET($P$12,0,AX$13)</f>
        <v>0</v>
      </c>
      <c r="AY12" s="198">
        <f t="shared" ref="AY12:BG12" ca="1" si="2">OFFSET($P$12,0,AY$13)</f>
        <v>0</v>
      </c>
      <c r="AZ12" s="198">
        <f t="shared" ca="1" si="2"/>
        <v>0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9" t="str">
        <f>Import.DescLote</f>
        <v>CONSTRUÇÃO DE CÓPA E APOIO PARA FUNCIONÁRIOS PÁTIO DE MAQUINAS</v>
      </c>
      <c r="F15" s="709"/>
      <c r="G15" s="709"/>
      <c r="H15" s="709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0</v>
      </c>
      <c r="R15" s="221">
        <f t="shared" ca="1" si="5"/>
        <v>0</v>
      </c>
      <c r="S15" s="221">
        <f t="shared" ca="1" si="5"/>
        <v>0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0</v>
      </c>
      <c r="AC15" s="224">
        <f ca="1">SUM(OFFSET(AC$15,1,0):AC$266)</f>
        <v>0</v>
      </c>
      <c r="AD15" s="224">
        <f ca="1">SUM(OFFSET(AD$15,1,0):AD$266)</f>
        <v>0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OBRA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PRELIMINARES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>PLACA DE OBRA (PARA CONSTRUCAO CIVIL) EM CHAPA GALVANIZADA *N. 22*, ADESIVADA, DE *2,0 X 1,125* M</v>
      </c>
      <c r="G18" s="208" t="str">
        <f ca="1">IF($D18&lt;&gt;"Serviço","",OFFSET(ORÇAMENTO!S$15,ROW(G18)-ROW(G$15),0))</f>
        <v xml:space="preserve">M2    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2.88</v>
      </c>
      <c r="I18" s="612"/>
      <c r="K18" s="209"/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PRELIMINARES</v>
      </c>
      <c r="O18" s="213"/>
      <c r="Q18" s="213"/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0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1000000000000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/>
      </c>
      <c r="D19" s="146" t="str">
        <f ca="1">OFFSET(ORÇAMENTO!N$15,ROW(D19)-ROW(D$15),0)</f>
        <v>Serviço</v>
      </c>
      <c r="E19" s="206" t="str">
        <f ca="1">OFFSET(ORÇAMENTO!O$15,ROW(E19)-ROW(E$15),0)</f>
        <v>-</v>
      </c>
      <c r="F19" s="207" t="str">
        <f ca="1">OFFSET(ORÇAMENTO!R$15,ROW(F19)-ROW(F$15),0)</f>
        <v>(Sem Código)</v>
      </c>
      <c r="G19" s="208" t="str">
        <f ca="1">IF($D19&lt;&gt;"Serviço","",OFFSET(ORÇAMENTO!S$15,ROW(G19)-ROW(G$15),0))</f>
        <v>-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0</v>
      </c>
      <c r="I19" s="612"/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SERVIÇOS PRELIMINARES</v>
      </c>
      <c r="O19" s="213"/>
      <c r="Q19" s="213"/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0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1000000000000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/>
      </c>
      <c r="D20" s="146" t="str">
        <f ca="1">OFFSET(ORÇAMENTO!N$15,ROW(D20)-ROW(D$15),0)</f>
        <v>Serviço</v>
      </c>
      <c r="E20" s="206" t="str">
        <f ca="1">OFFSET(ORÇAMENTO!O$15,ROW(E20)-ROW(E$15),0)</f>
        <v>-</v>
      </c>
      <c r="F20" s="207" t="str">
        <f ca="1">OFFSET(ORÇAMENTO!R$15,ROW(F20)-ROW(F$15),0)</f>
        <v>(Sem Código)</v>
      </c>
      <c r="G20" s="208" t="str">
        <f ca="1">IF($D20&lt;&gt;"Serviço","",OFFSET(ORÇAMENTO!S$15,ROW(G20)-ROW(G$15),0))</f>
        <v>-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0</v>
      </c>
      <c r="I20" s="612"/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SERVIÇOS PRELIMINARES</v>
      </c>
      <c r="O20" s="213"/>
      <c r="Q20" s="213"/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0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1000000000000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/>
      </c>
      <c r="D21" s="146" t="str">
        <f ca="1">OFFSET(ORÇAMENTO!N$15,ROW(D21)-ROW(D$15),0)</f>
        <v>Serviço</v>
      </c>
      <c r="E21" s="206" t="str">
        <f ca="1">OFFSET(ORÇAMENTO!O$15,ROW(E21)-ROW(E$15),0)</f>
        <v>-</v>
      </c>
      <c r="F21" s="207" t="str">
        <f ca="1">OFFSET(ORÇAMENTO!R$15,ROW(F21)-ROW(F$15),0)</f>
        <v>(Sem Código)</v>
      </c>
      <c r="G21" s="208" t="str">
        <f ca="1">IF($D21&lt;&gt;"Serviço","",OFFSET(ORÇAMENTO!S$15,ROW(G21)-ROW(G$15),0))</f>
        <v>-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0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SERVIÇOS PRELIMINARES</v>
      </c>
      <c r="O21" s="213"/>
      <c r="Q21" s="213"/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0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1000000000000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2</v>
      </c>
      <c r="B22" s="9" t="str">
        <f ca="1">OFFSET(ORÇAMENTO!C$15,ROW(B22)-ROW(B$15),0)</f>
        <v>S</v>
      </c>
      <c r="C22" s="9" t="str">
        <f ca="1">OFFSET(ORÇAMENTO!L$15,ROW(C22)-ROW(C$15),0)</f>
        <v/>
      </c>
      <c r="D22" s="146" t="str">
        <f ca="1">OFFSET(ORÇAMENTO!N$15,ROW(D22)-ROW(D$15),0)</f>
        <v>Serviço</v>
      </c>
      <c r="E22" s="206" t="str">
        <f ca="1">OFFSET(ORÇAMENTO!O$15,ROW(E22)-ROW(E$15),0)</f>
        <v>-</v>
      </c>
      <c r="F22" s="207" t="str">
        <f ca="1">OFFSET(ORÇAMENTO!R$15,ROW(F22)-ROW(F$15),0)</f>
        <v>(Sem Código)</v>
      </c>
      <c r="G22" s="208" t="str">
        <f ca="1">IF($D22&lt;&gt;"Serviço","",OFFSET(ORÇAMENTO!S$15,ROW(G22)-ROW(G$15),0))</f>
        <v>-</v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212" t="str">
        <f ca="1">IF($D22&lt;&gt;"Serviço","",IF(AUTOEVENTO="Manual",IF($A22=0,"&lt;-- defina o número do agrupador",OFFSET(EVENTOS!$D$14,$A22,0)),OFFSET($F$15,$A22,0)))</f>
        <v>SERVIÇOS PRELIMINARES</v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1000000000000</v>
      </c>
      <c r="AN22" s="216">
        <f ca="1">IF($D22&lt;&gt;"Serviço",0,IF(AND(AUTOEVENTO="Manual",$M22=1),0,IF(OFFSET(CRONOPLE!$F$14,$M22,AN$13)="",10^12,OFFSET(CRONOPLE!$F$14,$M22,AN$13))))</f>
        <v>1000000000000</v>
      </c>
      <c r="AO22" s="216">
        <f ca="1">IF($D22&lt;&gt;"Serviço",0,IF(AND(AUTOEVENTO="Manual",$M22=1),0,IF(OFFSET(CRONOPLE!$F$14,$M22,AO$13)="",10^12,OFFSET(CRONOPLE!$F$14,$M22,AO$13))))</f>
        <v>1000000000000</v>
      </c>
      <c r="AP22" s="216">
        <f ca="1">IF($D22&lt;&gt;"Serviço",0,IF(AND(AUTOEVENTO="Manual",$M22=1),0,IF(OFFSET(CRONOPLE!$F$14,$M22,AP$13)="",10^12,OFFSET(CRONOPLE!$F$14,$M22,AP$13))))</f>
        <v>1000000000000</v>
      </c>
      <c r="AQ22" s="216">
        <f ca="1">IF($D22&lt;&gt;"Serviço",0,IF(AND(AUTOEVENTO="Manual",$M22=1),0,IF(OFFSET(CRONOPLE!$F$14,$M22,AQ$13)="",10^12,OFFSET(CRONOPLE!$F$14,$M22,AQ$13))))</f>
        <v>1000000000000</v>
      </c>
      <c r="AR22" s="216">
        <f ca="1">IF($D22&lt;&gt;"Serviço",0,IF(AND(AUTOEVENTO="Manual",$M22=1),0,IF(OFFSET(CRONOPLE!$F$14,$M22,AR$13)="",10^12,OFFSET(CRONOPLE!$F$14,$M22,AR$13))))</f>
        <v>1000000000000</v>
      </c>
      <c r="AS22" s="216">
        <f ca="1">IF($D22&lt;&gt;"Serviço",0,IF(AND(AUTOEVENTO="Manual",$M22=1),0,IF(OFFSET(CRONOPLE!$F$14,$M22,AS$13)="",10^12,OFFSET(CRONOPLE!$F$14,$M22,AS$13))))</f>
        <v>1000000000000</v>
      </c>
      <c r="AT22" s="216">
        <f ca="1">IF($D22&lt;&gt;"Serviço",0,IF(AND(AUTOEVENTO="Manual",$M22=1),0,IF(OFFSET(CRONOPLE!$F$14,$M22,AT$13)="",10^12,OFFSET(CRONOPLE!$F$14,$M22,AT$13))))</f>
        <v>1000000000000</v>
      </c>
      <c r="AU22" s="216">
        <f ca="1">IF($D22&lt;&gt;"Serviço",0,IF(AND(AUTOEVENTO="Manual",$M22=1),0,IF(OFFSET(CRONOPLE!$F$14,$M22,AU$13)="",10^12,OFFSET(CRONOPLE!$F$14,$M22,AU$13))))</f>
        <v>1000000000000</v>
      </c>
      <c r="AV22" s="216">
        <f ca="1">IF($D22&lt;&gt;"Serviço",0,IF(AND(AUTOEVENTO="Manual",$M22=1),0,IF(OFFSET(CRONOPLE!$F$14,$M22,AV$13)="",10^12,OFFSET(CRONOPLE!$F$14,$M22,AV$13))))</f>
        <v>1000000000000</v>
      </c>
      <c r="AX22" s="217">
        <f ca="1">IF($D22&lt;&gt;"Serviço",0,IF(OR(AND(AUTOEVENTO="Manual",$M22=1),$M22&gt;(ROW(PLE.lastrow)-ROW(PLE.firstrow))),0,IF(OFFSET(PLE!$G$14,$M22,AX$13)="",10^12,OFFSET(PLE!$G$14,$M22,AX$13))))</f>
        <v>1000000000000</v>
      </c>
      <c r="AY22" s="217">
        <f ca="1">IF($D22&lt;&gt;"Serviço",0,IF(OR(AND(AUTOEVENTO="Manual",$M22=1),$M22&gt;(ROW(PLE.lastrow)-ROW(PLE.firstrow))),0,IF(OFFSET(PLE!$G$14,$M22,AY$13)="",10^12,OFFSET(PLE!$G$14,$M22,AY$13))))</f>
        <v>1000000000000</v>
      </c>
      <c r="AZ22" s="217">
        <f ca="1">IF($D22&lt;&gt;"Serviço",0,IF(OR(AND(AUTOEVENTO="Manual",$M22=1),$M22&gt;(ROW(PLE.lastrow)-ROW(PLE.firstrow))),0,IF(OFFSET(PLE!$G$14,$M22,AZ$13)="",10^12,OFFSET(PLE!$G$14,$M22,AZ$13))))</f>
        <v>1000000000000</v>
      </c>
      <c r="BA22" s="217">
        <f ca="1">IF($D22&lt;&gt;"Serviço",0,IF(OR(AND(AUTOEVENTO="Manual",$M22=1),$M22&gt;(ROW(PLE.lastrow)-ROW(PLE.firstrow))),0,IF(OFFSET(PLE!$G$14,$M22,BA$13)="",10^12,OFFSET(PLE!$G$14,$M22,BA$13))))</f>
        <v>1000000000000</v>
      </c>
      <c r="BB22" s="217">
        <f ca="1">IF($D22&lt;&gt;"Serviço",0,IF(OR(AND(AUTOEVENTO="Manual",$M22=1),$M22&gt;(ROW(PLE.lastrow)-ROW(PLE.firstrow))),0,IF(OFFSET(PLE!$G$14,$M22,BB$13)="",10^12,OFFSET(PLE!$G$14,$M22,BB$13))))</f>
        <v>1000000000000</v>
      </c>
      <c r="BC22" s="217">
        <f ca="1">IF($D22&lt;&gt;"Serviço",0,IF(OR(AND(AUTOEVENTO="Manual",$M22=1),$M22&gt;(ROW(PLE.lastrow)-ROW(PLE.firstrow))),0,IF(OFFSET(PLE!$G$14,$M22,BC$13)="",10^12,OFFSET(PLE!$G$14,$M22,BC$13))))</f>
        <v>1000000000000</v>
      </c>
      <c r="BD22" s="217">
        <f ca="1">IF($D22&lt;&gt;"Serviço",0,IF(OR(AND(AUTOEVENTO="Manual",$M22=1),$M22&gt;(ROW(PLE.lastrow)-ROW(PLE.firstrow))),0,IF(OFFSET(PLE!$G$14,$M22,BD$13)="",10^12,OFFSET(PLE!$G$14,$M22,BD$13))))</f>
        <v>1000000000000</v>
      </c>
      <c r="BE22" s="217">
        <f ca="1">IF($D22&lt;&gt;"Serviço",0,IF(OR(AND(AUTOEVENTO="Manual",$M22=1),$M22&gt;(ROW(PLE.lastrow)-ROW(PLE.firstrow))),0,IF(OFFSET(PLE!$G$14,$M22,BE$13)="",10^12,OFFSET(PLE!$G$14,$M22,BE$13))))</f>
        <v>1000000000000</v>
      </c>
      <c r="BF22" s="217">
        <f ca="1">IF($D22&lt;&gt;"Serviço",0,IF(OR(AND(AUTOEVENTO="Manual",$M22=1),$M22&gt;(ROW(PLE.lastrow)-ROW(PLE.firstrow))),0,IF(OFFSET(PLE!$G$14,$M22,BF$13)="",10^12,OFFSET(PLE!$G$14,$M22,BF$13))))</f>
        <v>1000000000000</v>
      </c>
      <c r="BG22" s="217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12.75" x14ac:dyDescent="0.2">
      <c r="A23" s="9" t="str">
        <f t="shared" ca="1" si="8"/>
        <v>2</v>
      </c>
      <c r="B23" s="9" t="str">
        <f ca="1">OFFSET(ORÇAMENTO!C$15,ROW(B23)-ROW(B$15),0)</f>
        <v>S</v>
      </c>
      <c r="C23" s="9" t="str">
        <f ca="1">OFFSET(ORÇAMENTO!L$15,ROW(C23)-ROW(C$15),0)</f>
        <v/>
      </c>
      <c r="D23" s="146" t="str">
        <f ca="1">OFFSET(ORÇAMENTO!N$15,ROW(D23)-ROW(D$15),0)</f>
        <v>Serviço</v>
      </c>
      <c r="E23" s="206" t="str">
        <f ca="1">OFFSET(ORÇAMENTO!O$15,ROW(E23)-ROW(E$15),0)</f>
        <v>-</v>
      </c>
      <c r="F23" s="207" t="str">
        <f ca="1">OFFSET(ORÇAMENTO!R$15,ROW(F23)-ROW(F$15),0)</f>
        <v>(Sem Código)</v>
      </c>
      <c r="G23" s="208" t="str">
        <f ca="1">IF($D23&lt;&gt;"Serviço","",OFFSET(ORÇAMENTO!S$15,ROW(G23)-ROW(G$15),0))</f>
        <v>-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0</v>
      </c>
      <c r="I23" s="612"/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212" t="str">
        <f ca="1">IF($D23&lt;&gt;"Serviço","",IF(AUTOEVENTO="Manual",IF($A23=0,"&lt;-- defina o número do agrupador",OFFSET(EVENTOS!$D$14,$A23,0)),OFFSET($F$15,$A23,0)))</f>
        <v>SERVIÇOS PRELIMINARES</v>
      </c>
      <c r="O23" s="213"/>
      <c r="Q23" s="213"/>
      <c r="R23" s="214"/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0</v>
      </c>
      <c r="AC23" s="594">
        <f ca="1">IF(AND($D23="Serviço",AC$12&lt;&gt;0,$H23&gt;0,OR(AUTOEVENTO&lt;&gt;"manual",$M23&lt;&gt;1)),ROUND(OFFSET($P23,0,AC$13),15-13*ORÇAMENTO!$AF$7)/$H23*OFFSET(ORÇAMENTO!$X$15,ROW(AC23)-ROW(AC$15),0),0)</f>
        <v>0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1000000000000</v>
      </c>
      <c r="AN23" s="216">
        <f ca="1">IF($D23&lt;&gt;"Serviço",0,IF(AND(AUTOEVENTO="Manual",$M23=1),0,IF(OFFSET(CRONOPLE!$F$14,$M23,AN$13)="",10^12,OFFSET(CRONOPLE!$F$14,$M23,AN$13))))</f>
        <v>1000000000000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x14ac:dyDescent="0.2">
      <c r="A24" s="9" t="str">
        <f t="shared" ca="1" si="8"/>
        <v>9.</v>
      </c>
      <c r="B24" s="9">
        <f ca="1">OFFSET(ORÇAMENTO!C$15,ROW(B24)-ROW(B$15),0)</f>
        <v>2</v>
      </c>
      <c r="C24" s="9" t="str">
        <f ca="1">OFFSET(ORÇAMENTO!L$15,ROW(C24)-ROW(C$15),0)</f>
        <v>F</v>
      </c>
      <c r="D24" s="146" t="str">
        <f ca="1">OFFSET(ORÇAMENTO!N$15,ROW(D24)-ROW(D$15),0)</f>
        <v>Nível 2</v>
      </c>
      <c r="E24" s="206" t="str">
        <f ca="1">OFFSET(ORÇAMENTO!O$15,ROW(E24)-ROW(E$15),0)</f>
        <v>1.2.</v>
      </c>
      <c r="F24" s="207" t="str">
        <f ca="1">OFFSET(ORÇAMENTO!R$15,ROW(F24)-ROW(F$15),0)</f>
        <v>FUNDAÇÃO E ESTRUTURA</v>
      </c>
      <c r="G24" s="208" t="str">
        <f ca="1">IF($D24&lt;&gt;"Serviço","",OFFSET(ORÇAMENTO!S$15,ROW(G24)-ROW(G$15),0))</f>
        <v/>
      </c>
      <c r="H24" s="152">
        <f ca="1">IF($D24&lt;&gt;"Serviço",0,IF(ACOMPANHAMENTO="BM",ROUND(OFFSET(ORÇAMENTO!AJ$15,ROW(H24)-ROW(H$15),0),15-13*ORÇAMENTO!$AF$7),SUMPRODUCT(($Q$12:$AA$12&lt;&gt;"")*ROUND($Q24:$AA24,15-13*ORÇAMENTO!$AF$7))))</f>
        <v>0</v>
      </c>
      <c r="I24" s="612"/>
      <c r="K24" s="209"/>
      <c r="L24" s="210" t="s">
        <v>254</v>
      </c>
      <c r="M24" s="211" t="str">
        <f ca="1">IF($D24&lt;&gt;"Serviço","",IF(AUTOEVENTO="manual",$A24,IF(ISERROR(MATCH($A24,$A$15:OFFSET($A24,-1,0),0)),MAX($M$15:OFFSET(M24,-1,0))+1,INDEX($M$15:OFFSET(M24,-1,0),MATCH($A24,$A$15:OFFSET($A24,-1,0),0)))))</f>
        <v/>
      </c>
      <c r="N24" s="212" t="str">
        <f ca="1">IF($D24&lt;&gt;"Serviço","",IF(AUTOEVENTO="Manual",IF($A24=0,"&lt;-- defina o número do agrupador",OFFSET(EVENTOS!$D$14,$A24,0)),OFFSET($F$15,$A24,0)))</f>
        <v/>
      </c>
      <c r="O24" s="213"/>
      <c r="Q24" s="213"/>
      <c r="R24" s="214"/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0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0</v>
      </c>
      <c r="AN24" s="216">
        <f ca="1">IF($D24&lt;&gt;"Serviço",0,IF(AND(AUTOEVENTO="Manual",$M24=1),0,IF(OFFSET(CRONOPLE!$F$14,$M24,AN$13)="",10^12,OFFSET(CRONOPLE!$F$14,$M24,AN$13))))</f>
        <v>0</v>
      </c>
      <c r="AO24" s="216">
        <f ca="1">IF($D24&lt;&gt;"Serviço",0,IF(AND(AUTOEVENTO="Manual",$M24=1),0,IF(OFFSET(CRONOPLE!$F$14,$M24,AO$13)="",10^12,OFFSET(CRONOPLE!$F$14,$M24,AO$13))))</f>
        <v>0</v>
      </c>
      <c r="AP24" s="216">
        <f ca="1">IF($D24&lt;&gt;"Serviço",0,IF(AND(AUTOEVENTO="Manual",$M24=1),0,IF(OFFSET(CRONOPLE!$F$14,$M24,AP$13)="",10^12,OFFSET(CRONOPLE!$F$14,$M24,AP$13))))</f>
        <v>0</v>
      </c>
      <c r="AQ24" s="216">
        <f ca="1">IF($D24&lt;&gt;"Serviço",0,IF(AND(AUTOEVENTO="Manual",$M24=1),0,IF(OFFSET(CRONOPLE!$F$14,$M24,AQ$13)="",10^12,OFFSET(CRONOPLE!$F$14,$M24,AQ$13))))</f>
        <v>0</v>
      </c>
      <c r="AR24" s="216">
        <f ca="1">IF($D24&lt;&gt;"Serviço",0,IF(AND(AUTOEVENTO="Manual",$M24=1),0,IF(OFFSET(CRONOPLE!$F$14,$M24,AR$13)="",10^12,OFFSET(CRONOPLE!$F$14,$M24,AR$13))))</f>
        <v>0</v>
      </c>
      <c r="AS24" s="216">
        <f ca="1">IF($D24&lt;&gt;"Serviço",0,IF(AND(AUTOEVENTO="Manual",$M24=1),0,IF(OFFSET(CRONOPLE!$F$14,$M24,AS$13)="",10^12,OFFSET(CRONOPLE!$F$14,$M24,AS$13))))</f>
        <v>0</v>
      </c>
      <c r="AT24" s="216">
        <f ca="1">IF($D24&lt;&gt;"Serviço",0,IF(AND(AUTOEVENTO="Manual",$M24=1),0,IF(OFFSET(CRONOPLE!$F$14,$M24,AT$13)="",10^12,OFFSET(CRONOPLE!$F$14,$M24,AT$13))))</f>
        <v>0</v>
      </c>
      <c r="AU24" s="216">
        <f ca="1">IF($D24&lt;&gt;"Serviço",0,IF(AND(AUTOEVENTO="Manual",$M24=1),0,IF(OFFSET(CRONOPLE!$F$14,$M24,AU$13)="",10^12,OFFSET(CRONOPLE!$F$14,$M24,AU$13))))</f>
        <v>0</v>
      </c>
      <c r="AV24" s="216">
        <f ca="1">IF($D24&lt;&gt;"Serviço",0,IF(AND(AUTOEVENTO="Manual",$M24=1),0,IF(OFFSET(CRONOPLE!$F$14,$M24,AV$13)="",10^12,OFFSET(CRONOPLE!$F$14,$M24,AV$13))))</f>
        <v>0</v>
      </c>
      <c r="AX24" s="217">
        <f ca="1">IF($D24&lt;&gt;"Serviço",0,IF(OR(AND(AUTOEVENTO="Manual",$M24=1),$M24&gt;(ROW(PLE.lastrow)-ROW(PLE.firstrow))),0,IF(OFFSET(PLE!$G$14,$M24,AX$13)="",10^12,OFFSET(PLE!$G$14,$M24,AX$13))))</f>
        <v>0</v>
      </c>
      <c r="AY24" s="217">
        <f ca="1">IF($D24&lt;&gt;"Serviço",0,IF(OR(AND(AUTOEVENTO="Manual",$M24=1),$M24&gt;(ROW(PLE.lastrow)-ROW(PLE.firstrow))),0,IF(OFFSET(PLE!$G$14,$M24,AY$13)="",10^12,OFFSET(PLE!$G$14,$M24,AY$13))))</f>
        <v>0</v>
      </c>
      <c r="AZ24" s="217">
        <f ca="1">IF($D24&lt;&gt;"Serviço",0,IF(OR(AND(AUTOEVENTO="Manual",$M24=1),$M24&gt;(ROW(PLE.lastrow)-ROW(PLE.firstrow))),0,IF(OFFSET(PLE!$G$14,$M24,AZ$13)="",10^12,OFFSET(PLE!$G$14,$M24,AZ$13))))</f>
        <v>0</v>
      </c>
      <c r="BA24" s="217">
        <f ca="1">IF($D24&lt;&gt;"Serviço",0,IF(OR(AND(AUTOEVENTO="Manual",$M24=1),$M24&gt;(ROW(PLE.lastrow)-ROW(PLE.firstrow))),0,IF(OFFSET(PLE!$G$14,$M24,BA$13)="",10^12,OFFSET(PLE!$G$14,$M24,BA$13))))</f>
        <v>0</v>
      </c>
      <c r="BB24" s="217">
        <f ca="1">IF($D24&lt;&gt;"Serviço",0,IF(OR(AND(AUTOEVENTO="Manual",$M24=1),$M24&gt;(ROW(PLE.lastrow)-ROW(PLE.firstrow))),0,IF(OFFSET(PLE!$G$14,$M24,BB$13)="",10^12,OFFSET(PLE!$G$14,$M24,BB$13))))</f>
        <v>0</v>
      </c>
      <c r="BC24" s="217">
        <f ca="1">IF($D24&lt;&gt;"Serviço",0,IF(OR(AND(AUTOEVENTO="Manual",$M24=1),$M24&gt;(ROW(PLE.lastrow)-ROW(PLE.firstrow))),0,IF(OFFSET(PLE!$G$14,$M24,BC$13)="",10^12,OFFSET(PLE!$G$14,$M24,BC$13))))</f>
        <v>0</v>
      </c>
      <c r="BD24" s="217">
        <f ca="1">IF($D24&lt;&gt;"Serviço",0,IF(OR(AND(AUTOEVENTO="Manual",$M24=1),$M24&gt;(ROW(PLE.lastrow)-ROW(PLE.firstrow))),0,IF(OFFSET(PLE!$G$14,$M24,BD$13)="",10^12,OFFSET(PLE!$G$14,$M24,BD$13))))</f>
        <v>0</v>
      </c>
      <c r="BE24" s="217">
        <f ca="1">IF($D24&lt;&gt;"Serviço",0,IF(OR(AND(AUTOEVENTO="Manual",$M24=1),$M24&gt;(ROW(PLE.lastrow)-ROW(PLE.firstrow))),0,IF(OFFSET(PLE!$G$14,$M24,BE$13)="",10^12,OFFSET(PLE!$G$14,$M24,BE$13))))</f>
        <v>0</v>
      </c>
      <c r="BF24" s="217">
        <f ca="1">IF($D24&lt;&gt;"Serviço",0,IF(OR(AND(AUTOEVENTO="Manual",$M24=1),$M24&gt;(ROW(PLE.lastrow)-ROW(PLE.firstrow))),0,IF(OFFSET(PLE!$G$14,$M24,BF$13)="",10^12,OFFSET(PLE!$G$14,$M24,BF$13))))</f>
        <v>0</v>
      </c>
      <c r="BG24" s="217">
        <f ca="1">IF($D24&lt;&gt;"Serviço",0,IF(OR(AND(AUTOEVENTO="Manual",$M24=1),$M24&gt;(ROW(PLE.lastrow)-ROW(PLE.firstrow))),0,IF(OFFSET(PLE!$G$14,$M24,BG$13)="",10^12,OFFSET(PLE!$G$14,$M24,BG$13))))</f>
        <v>0</v>
      </c>
    </row>
    <row r="25" spans="1:59" ht="25.5" x14ac:dyDescent="0.2">
      <c r="A25" s="9" t="str">
        <f t="shared" ca="1" si="8"/>
        <v>9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1.2.1.</v>
      </c>
      <c r="F25" s="207" t="str">
        <f ca="1">OFFSET(ORÇAMENTO!R$15,ROW(F25)-ROW(F$15),0)</f>
        <v>CONCRETO FCK = 25MPA, TRAÇO 1:2,3:2,7 (CIMENTO/ AREIA MÉDIA/ BRITA 1)  - PREPARO MECÂNICO COM BETONEIRA 600 L. AF_07/2016</v>
      </c>
      <c r="G25" s="208" t="str">
        <f ca="1">IF($D25&lt;&gt;"Serviço","",OFFSET(ORÇAMENTO!S$15,ROW(G25)-ROW(G$15),0))</f>
        <v>M3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12.04</v>
      </c>
      <c r="I25" s="612"/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FUNDAÇÃO E ESTRUTURA</v>
      </c>
      <c r="O25" s="213"/>
      <c r="Q25" s="213"/>
      <c r="R25" s="214"/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0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1000000000000</v>
      </c>
      <c r="AN25" s="216">
        <f ca="1">IF($D25&lt;&gt;"Serviço",0,IF(AND(AUTOEVENTO="Manual",$M25=1),0,IF(OFFSET(CRONOPLE!$F$14,$M25,AN$13)="",10^12,OFFSET(CRONOPLE!$F$14,$M25,AN$13))))</f>
        <v>1000000000000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38.25" x14ac:dyDescent="0.2">
      <c r="A26" s="9" t="str">
        <f t="shared" ca="1" si="8"/>
        <v>9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1.2.2.</v>
      </c>
      <c r="F26" s="207" t="str">
        <f ca="1">OFFSET(ORÇAMENTO!R$15,ROW(F26)-ROW(F$15),0)</f>
        <v>ARMAÇÃO DE ESTRUTURAS DE CONCRETO ARMADO, EXCETO VIGAS, PILARES, LAJES E FUNDAÇÕES, UTILIZANDO AÇO CA-50 DE 10,0 MM - MONTAGEM. AF_12/2015</v>
      </c>
      <c r="G26" s="208" t="str">
        <f ca="1">IF($D26&lt;&gt;"Serviço","",OFFSET(ORÇAMENTO!S$15,ROW(G26)-ROW(G$15),0))</f>
        <v>KG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975</v>
      </c>
      <c r="I26" s="612"/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FUNDAÇÃO E ESTRUTURA</v>
      </c>
      <c r="O26" s="213"/>
      <c r="Q26" s="213"/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0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1000000000000</v>
      </c>
      <c r="AN26" s="216">
        <f ca="1">IF($D26&lt;&gt;"Serviço",0,IF(AND(AUTOEVENTO="Manual",$M26=1),0,IF(OFFSET(CRONOPLE!$F$14,$M26,AN$13)="",10^12,OFFSET(CRONOPLE!$F$14,$M26,AN$13))))</f>
        <v>1000000000000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9" t="str">
        <f t="shared" ca="1" si="8"/>
        <v>9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1.2.3.</v>
      </c>
      <c r="F27" s="207" t="str">
        <f ca="1">OFFSET(ORÇAMENTO!R$15,ROW(F27)-ROW(F$15),0)</f>
        <v>ACO CA-50, 6,3 MM, DOBRADO E CORTADO</v>
      </c>
      <c r="G27" s="208" t="str">
        <f ca="1">IF($D27&lt;&gt;"Serviço","",OFFSET(ORÇAMENTO!S$15,ROW(G27)-ROW(G$15),0))</f>
        <v xml:space="preserve">KG    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1095.8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FUNDAÇÃO E ESTRUTURA</v>
      </c>
      <c r="O27" s="213"/>
      <c r="Q27" s="213"/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0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1000000000000</v>
      </c>
      <c r="AN27" s="216">
        <f ca="1">IF($D27&lt;&gt;"Serviço",0,IF(AND(AUTOEVENTO="Manual",$M27=1),0,IF(OFFSET(CRONOPLE!$F$14,$M27,AN$13)="",10^12,OFFSET(CRONOPLE!$F$14,$M27,AN$13))))</f>
        <v>1000000000000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25.5" x14ac:dyDescent="0.2">
      <c r="A28" s="9" t="str">
        <f t="shared" ca="1" si="8"/>
        <v>9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6" t="str">
        <f ca="1">OFFSET(ORÇAMENTO!N$15,ROW(D28)-ROW(D$15),0)</f>
        <v>Serviço</v>
      </c>
      <c r="E28" s="206" t="str">
        <f ca="1">OFFSET(ORÇAMENTO!O$15,ROW(E28)-ROW(E$15),0)</f>
        <v>1.2.4.</v>
      </c>
      <c r="F28" s="207" t="str">
        <f ca="1">OFFSET(ORÇAMENTO!R$15,ROW(F28)-ROW(F$15),0)</f>
        <v>TABUA DE MADEIRA NAO APARELHADA *2,5 X 30* CM, CEDRINHO OU EQUIVALENTE DA REGIAO</v>
      </c>
      <c r="G28" s="208" t="str">
        <f ca="1">IF($D28&lt;&gt;"Serviço","",OFFSET(ORÇAMENTO!S$15,ROW(G28)-ROW(G$15),0))</f>
        <v xml:space="preserve">M     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160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FUNDAÇÃO E ESTRUTURA</v>
      </c>
      <c r="O28" s="213"/>
      <c r="Q28" s="213"/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0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1000000000000</v>
      </c>
      <c r="AN28" s="216">
        <f ca="1">IF($D28&lt;&gt;"Serviço",0,IF(AND(AUTOEVENTO="Manual",$M28=1),0,IF(OFFSET(CRONOPLE!$F$14,$M28,AN$13)="",10^12,OFFSET(CRONOPLE!$F$14,$M28,AN$13))))</f>
        <v>1000000000000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25.5" x14ac:dyDescent="0.2">
      <c r="A29" s="9" t="str">
        <f t="shared" ca="1" si="8"/>
        <v>9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1.2.5.</v>
      </c>
      <c r="F29" s="207" t="str">
        <f ca="1">OFFSET(ORÇAMENTO!R$15,ROW(F29)-ROW(F$15),0)</f>
        <v>ESCAVAÇÃO MANUAL PARA BLOCO DE COROAMENTO OU SAPATA, SEM PREVISÃO DE FÔRMA. AF_06/2017</v>
      </c>
      <c r="G29" s="208" t="str">
        <f ca="1">IF($D29&lt;&gt;"Serviço","",OFFSET(ORÇAMENTO!S$15,ROW(G29)-ROW(G$15),0))</f>
        <v>M3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4.41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FUNDAÇÃO E ESTRUTURA</v>
      </c>
      <c r="O29" s="213"/>
      <c r="Q29" s="213"/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0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1000000000000</v>
      </c>
      <c r="AN29" s="216">
        <f ca="1">IF($D29&lt;&gt;"Serviço",0,IF(AND(AUTOEVENTO="Manual",$M29=1),0,IF(OFFSET(CRONOPLE!$F$14,$M29,AN$13)="",10^12,OFFSET(CRONOPLE!$F$14,$M29,AN$13))))</f>
        <v>1000000000000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25.5" x14ac:dyDescent="0.2">
      <c r="A30" s="9" t="str">
        <f t="shared" ca="1" si="8"/>
        <v>9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6" t="str">
        <f ca="1">OFFSET(ORÇAMENTO!N$15,ROW(D30)-ROW(D$15),0)</f>
        <v>Serviço</v>
      </c>
      <c r="E30" s="206" t="str">
        <f ca="1">OFFSET(ORÇAMENTO!O$15,ROW(E30)-ROW(E$15),0)</f>
        <v>1.2.6.</v>
      </c>
      <c r="F30" s="207" t="str">
        <f ca="1">OFFSET(ORÇAMENTO!R$15,ROW(F30)-ROW(F$15),0)</f>
        <v>IMPERMEABILIZAÇÃO DE SUPERFÍCIE COM EMULSÃO ASFÁLTICA, 2 DEMÃOS AF_06/2018</v>
      </c>
      <c r="G30" s="208" t="str">
        <f ca="1">IF($D30&lt;&gt;"Serviço","",OFFSET(ORÇAMENTO!S$15,ROW(G30)-ROW(G$15),0))</f>
        <v>M2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126.11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FUNDAÇÃO E ESTRUTURA</v>
      </c>
      <c r="O30" s="213"/>
      <c r="Q30" s="213"/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0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1000000000000</v>
      </c>
      <c r="AN30" s="216">
        <f ca="1">IF($D30&lt;&gt;"Serviço",0,IF(AND(AUTOEVENTO="Manual",$M30=1),0,IF(OFFSET(CRONOPLE!$F$14,$M30,AN$13)="",10^12,OFFSET(CRONOPLE!$F$14,$M30,AN$13))))</f>
        <v>1000000000000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38.25" x14ac:dyDescent="0.2">
      <c r="A31" s="9" t="str">
        <f t="shared" ca="1" si="8"/>
        <v>9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1.2.7.</v>
      </c>
      <c r="F31" s="207" t="str">
        <f ca="1">OFFSET(ORÇAMENTO!R$15,ROW(F31)-ROW(F$15),0)</f>
        <v>ALVENARIA DE EMBASAMENTO COM BLOCO ESTRUTURAL DE CERÂMICA, DE 14X19X29CM E ARGAMASSA DE ASSENTAMENTO COM PREPARO EM BETONEIRA. AF_05/2020</v>
      </c>
      <c r="G31" s="208" t="str">
        <f ca="1">IF($D31&lt;&gt;"Serviço","",OFFSET(ORÇAMENTO!S$15,ROW(G31)-ROW(G$15),0))</f>
        <v>M3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4.8499999999999996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FUNDAÇÃO E ESTRUTURA</v>
      </c>
      <c r="O31" s="213"/>
      <c r="Q31" s="213"/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0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1000000000000</v>
      </c>
      <c r="AN31" s="216">
        <f ca="1">IF($D31&lt;&gt;"Serviço",0,IF(AND(AUTOEVENTO="Manual",$M31=1),0,IF(OFFSET(CRONOPLE!$F$14,$M31,AN$13)="",10^12,OFFSET(CRONOPLE!$F$14,$M31,AN$13))))</f>
        <v>1000000000000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9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(Sem Código)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FUNDAÇÃO E ESTRUTURA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1000000000000</v>
      </c>
      <c r="AN32" s="216">
        <f ca="1">IF($D32&lt;&gt;"Serviço",0,IF(AND(AUTOEVENTO="Manual",$M32=1),0,IF(OFFSET(CRONOPLE!$F$14,$M32,AN$13)="",10^12,OFFSET(CRONOPLE!$F$14,$M32,AN$13))))</f>
        <v>1000000000000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9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FUNDAÇÃO E ESTRUTURA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1000000000000</v>
      </c>
      <c r="AN33" s="216">
        <f ca="1">IF($D33&lt;&gt;"Serviço",0,IF(AND(AUTOEVENTO="Manual",$M33=1),0,IF(OFFSET(CRONOPLE!$F$14,$M33,AN$13)="",10^12,OFFSET(CRONOPLE!$F$14,$M33,AN$13))))</f>
        <v>1000000000000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9</v>
      </c>
      <c r="B34" s="9" t="str">
        <f ca="1">OFFSET(ORÇAMENTO!C$15,ROW(B34)-ROW(B$15),0)</f>
        <v>S</v>
      </c>
      <c r="C34" s="9" t="str">
        <f ca="1">OFFSET(ORÇAMENTO!L$15,ROW(C34)-ROW(C$15),0)</f>
        <v/>
      </c>
      <c r="D34" s="146" t="str">
        <f ca="1">OFFSET(ORÇAMENTO!N$15,ROW(D34)-ROW(D$15),0)</f>
        <v>Serviço</v>
      </c>
      <c r="E34" s="206" t="str">
        <f ca="1">OFFSET(ORÇAMENTO!O$15,ROW(E34)-ROW(E$15),0)</f>
        <v>-</v>
      </c>
      <c r="F34" s="207" t="str">
        <f ca="1">OFFSET(ORÇAMENTO!R$15,ROW(F34)-ROW(F$15),0)</f>
        <v>(Sem Código)</v>
      </c>
      <c r="G34" s="208" t="str">
        <f ca="1">IF($D34&lt;&gt;"Serviço","",OFFSET(ORÇAMENTO!S$15,ROW(G34)-ROW(G$15),0))</f>
        <v>-</v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>
        <f ca="1">IF($D34&lt;&gt;"Serviço","",IF(AUTOEVENTO="manual",$A34,IF(ISERROR(MATCH($A34,$A$15:OFFSET($A34,-1,0),0)),MAX($M$15:OFFSET(M34,-1,0))+1,INDEX($M$15:OFFSET(M34,-1,0),MATCH($A34,$A$15:OFFSET($A34,-1,0),0)))))</f>
        <v>3</v>
      </c>
      <c r="N34" s="212" t="str">
        <f ca="1">IF($D34&lt;&gt;"Serviço","",IF(AUTOEVENTO="Manual",IF($A34=0,"&lt;-- defina o número do agrupador",OFFSET(EVENTOS!$D$14,$A34,0)),OFFSET($F$15,$A34,0)))</f>
        <v>FUNDAÇÃO E ESTRUTURA</v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1000000000000</v>
      </c>
      <c r="AN34" s="216">
        <f ca="1">IF($D34&lt;&gt;"Serviço",0,IF(AND(AUTOEVENTO="Manual",$M34=1),0,IF(OFFSET(CRONOPLE!$F$14,$M34,AN$13)="",10^12,OFFSET(CRONOPLE!$F$14,$M34,AN$13))))</f>
        <v>1000000000000</v>
      </c>
      <c r="AO34" s="216">
        <f ca="1">IF($D34&lt;&gt;"Serviço",0,IF(AND(AUTOEVENTO="Manual",$M34=1),0,IF(OFFSET(CRONOPLE!$F$14,$M34,AO$13)="",10^12,OFFSET(CRONOPLE!$F$14,$M34,AO$13))))</f>
        <v>1000000000000</v>
      </c>
      <c r="AP34" s="216">
        <f ca="1">IF($D34&lt;&gt;"Serviço",0,IF(AND(AUTOEVENTO="Manual",$M34=1),0,IF(OFFSET(CRONOPLE!$F$14,$M34,AP$13)="",10^12,OFFSET(CRONOPLE!$F$14,$M34,AP$13))))</f>
        <v>1000000000000</v>
      </c>
      <c r="AQ34" s="216">
        <f ca="1">IF($D34&lt;&gt;"Serviço",0,IF(AND(AUTOEVENTO="Manual",$M34=1),0,IF(OFFSET(CRONOPLE!$F$14,$M34,AQ$13)="",10^12,OFFSET(CRONOPLE!$F$14,$M34,AQ$13))))</f>
        <v>1000000000000</v>
      </c>
      <c r="AR34" s="216">
        <f ca="1">IF($D34&lt;&gt;"Serviço",0,IF(AND(AUTOEVENTO="Manual",$M34=1),0,IF(OFFSET(CRONOPLE!$F$14,$M34,AR$13)="",10^12,OFFSET(CRONOPLE!$F$14,$M34,AR$13))))</f>
        <v>1000000000000</v>
      </c>
      <c r="AS34" s="216">
        <f ca="1">IF($D34&lt;&gt;"Serviço",0,IF(AND(AUTOEVENTO="Manual",$M34=1),0,IF(OFFSET(CRONOPLE!$F$14,$M34,AS$13)="",10^12,OFFSET(CRONOPLE!$F$14,$M34,AS$13))))</f>
        <v>1000000000000</v>
      </c>
      <c r="AT34" s="216">
        <f ca="1">IF($D34&lt;&gt;"Serviço",0,IF(AND(AUTOEVENTO="Manual",$M34=1),0,IF(OFFSET(CRONOPLE!$F$14,$M34,AT$13)="",10^12,OFFSET(CRONOPLE!$F$14,$M34,AT$13))))</f>
        <v>1000000000000</v>
      </c>
      <c r="AU34" s="216">
        <f ca="1">IF($D34&lt;&gt;"Serviço",0,IF(AND(AUTOEVENTO="Manual",$M34=1),0,IF(OFFSET(CRONOPLE!$F$14,$M34,AU$13)="",10^12,OFFSET(CRONOPLE!$F$14,$M34,AU$13))))</f>
        <v>1000000000000</v>
      </c>
      <c r="AV34" s="216">
        <f ca="1">IF($D34&lt;&gt;"Serviço",0,IF(AND(AUTOEVENTO="Manual",$M34=1),0,IF(OFFSET(CRONOPLE!$F$14,$M34,AV$13)="",10^12,OFFSET(CRONOPLE!$F$14,$M34,AV$13))))</f>
        <v>1000000000000</v>
      </c>
      <c r="AX34" s="217">
        <f ca="1">IF($D34&lt;&gt;"Serviço",0,IF(OR(AND(AUTOEVENTO="Manual",$M34=1),$M34&gt;(ROW(PLE.lastrow)-ROW(PLE.firstrow))),0,IF(OFFSET(PLE!$G$14,$M34,AX$13)="",10^12,OFFSET(PLE!$G$14,$M34,AX$13))))</f>
        <v>1000000000000</v>
      </c>
      <c r="AY34" s="217">
        <f ca="1">IF($D34&lt;&gt;"Serviço",0,IF(OR(AND(AUTOEVENTO="Manual",$M34=1),$M34&gt;(ROW(PLE.lastrow)-ROW(PLE.firstrow))),0,IF(OFFSET(PLE!$G$14,$M34,AY$13)="",10^12,OFFSET(PLE!$G$14,$M34,AY$13))))</f>
        <v>1000000000000</v>
      </c>
      <c r="AZ34" s="217">
        <f ca="1">IF($D34&lt;&gt;"Serviço",0,IF(OR(AND(AUTOEVENTO="Manual",$M34=1),$M34&gt;(ROW(PLE.lastrow)-ROW(PLE.firstrow))),0,IF(OFFSET(PLE!$G$14,$M34,AZ$13)="",10^12,OFFSET(PLE!$G$14,$M34,AZ$13))))</f>
        <v>1000000000000</v>
      </c>
      <c r="BA34" s="217">
        <f ca="1">IF($D34&lt;&gt;"Serviço",0,IF(OR(AND(AUTOEVENTO="Manual",$M34=1),$M34&gt;(ROW(PLE.lastrow)-ROW(PLE.firstrow))),0,IF(OFFSET(PLE!$G$14,$M34,BA$13)="",10^12,OFFSET(PLE!$G$14,$M34,BA$13))))</f>
        <v>1000000000000</v>
      </c>
      <c r="BB34" s="217">
        <f ca="1">IF($D34&lt;&gt;"Serviço",0,IF(OR(AND(AUTOEVENTO="Manual",$M34=1),$M34&gt;(ROW(PLE.lastrow)-ROW(PLE.firstrow))),0,IF(OFFSET(PLE!$G$14,$M34,BB$13)="",10^12,OFFSET(PLE!$G$14,$M34,BB$13))))</f>
        <v>1000000000000</v>
      </c>
      <c r="BC34" s="217">
        <f ca="1">IF($D34&lt;&gt;"Serviço",0,IF(OR(AND(AUTOEVENTO="Manual",$M34=1),$M34&gt;(ROW(PLE.lastrow)-ROW(PLE.firstrow))),0,IF(OFFSET(PLE!$G$14,$M34,BC$13)="",10^12,OFFSET(PLE!$G$14,$M34,BC$13))))</f>
        <v>1000000000000</v>
      </c>
      <c r="BD34" s="217">
        <f ca="1">IF($D34&lt;&gt;"Serviço",0,IF(OR(AND(AUTOEVENTO="Manual",$M34=1),$M34&gt;(ROW(PLE.lastrow)-ROW(PLE.firstrow))),0,IF(OFFSET(PLE!$G$14,$M34,BD$13)="",10^12,OFFSET(PLE!$G$14,$M34,BD$13))))</f>
        <v>1000000000000</v>
      </c>
      <c r="BE34" s="217">
        <f ca="1">IF($D34&lt;&gt;"Serviço",0,IF(OR(AND(AUTOEVENTO="Manual",$M34=1),$M34&gt;(ROW(PLE.lastrow)-ROW(PLE.firstrow))),0,IF(OFFSET(PLE!$G$14,$M34,BE$13)="",10^12,OFFSET(PLE!$G$14,$M34,BE$13))))</f>
        <v>1000000000000</v>
      </c>
      <c r="BF34" s="217">
        <f ca="1">IF($D34&lt;&gt;"Serviço",0,IF(OR(AND(AUTOEVENTO="Manual",$M34=1),$M34&gt;(ROW(PLE.lastrow)-ROW(PLE.firstrow))),0,IF(OFFSET(PLE!$G$14,$M34,BF$13)="",10^12,OFFSET(PLE!$G$14,$M34,BF$13))))</f>
        <v>1000000000000</v>
      </c>
      <c r="BG34" s="217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9" t="str">
        <f t="shared" ca="1" si="8"/>
        <v>9</v>
      </c>
      <c r="B35" s="9" t="str">
        <f ca="1">OFFSET(ORÇAMENTO!C$15,ROW(B35)-ROW(B$15),0)</f>
        <v>S</v>
      </c>
      <c r="C35" s="9" t="str">
        <f ca="1">OFFSET(ORÇAMENTO!L$15,ROW(C35)-ROW(C$15),0)</f>
        <v/>
      </c>
      <c r="D35" s="146" t="str">
        <f ca="1">OFFSET(ORÇAMENTO!N$15,ROW(D35)-ROW(D$15),0)</f>
        <v>Serviço</v>
      </c>
      <c r="E35" s="206" t="str">
        <f ca="1">OFFSET(ORÇAMENTO!O$15,ROW(E35)-ROW(E$15),0)</f>
        <v>-</v>
      </c>
      <c r="F35" s="207" t="str">
        <f ca="1">OFFSET(ORÇAMENTO!R$15,ROW(F35)-ROW(F$15),0)</f>
        <v>(Sem Código)</v>
      </c>
      <c r="G35" s="208" t="str">
        <f ca="1">IF($D35&lt;&gt;"Serviço","",OFFSET(ORÇAMENTO!S$15,ROW(G35)-ROW(G$15),0))</f>
        <v>-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0</v>
      </c>
      <c r="I35" s="612"/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3</v>
      </c>
      <c r="N35" s="212" t="str">
        <f ca="1">IF($D35&lt;&gt;"Serviço","",IF(AUTOEVENTO="Manual",IF($A35=0,"&lt;-- defina o número do agrupador",OFFSET(EVENTOS!$D$14,$A35,0)),OFFSET($F$15,$A35,0)))</f>
        <v>FUNDAÇÃO E ESTRUTURA</v>
      </c>
      <c r="O35" s="213"/>
      <c r="Q35" s="213"/>
      <c r="R35" s="214"/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0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1000000000000</v>
      </c>
      <c r="AN35" s="216">
        <f ca="1">IF($D35&lt;&gt;"Serviço",0,IF(AND(AUTOEVENTO="Manual",$M35=1),0,IF(OFFSET(CRONOPLE!$F$14,$M35,AN$13)="",10^12,OFFSET(CRONOPLE!$F$14,$M35,AN$13))))</f>
        <v>1000000000000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9" t="str">
        <f t="shared" ca="1" si="8"/>
        <v>9</v>
      </c>
      <c r="B36" s="9" t="str">
        <f ca="1">OFFSET(ORÇAMENTO!C$15,ROW(B36)-ROW(B$15),0)</f>
        <v>S</v>
      </c>
      <c r="C36" s="9" t="str">
        <f ca="1">OFFSET(ORÇAMENTO!L$15,ROW(C36)-ROW(C$15),0)</f>
        <v/>
      </c>
      <c r="D36" s="146" t="str">
        <f ca="1">OFFSET(ORÇAMENTO!N$15,ROW(D36)-ROW(D$15),0)</f>
        <v>Serviço</v>
      </c>
      <c r="E36" s="206" t="str">
        <f ca="1">OFFSET(ORÇAMENTO!O$15,ROW(E36)-ROW(E$15),0)</f>
        <v>-</v>
      </c>
      <c r="F36" s="207" t="str">
        <f ca="1">OFFSET(ORÇAMENTO!R$15,ROW(F36)-ROW(F$15),0)</f>
        <v>(Sem Código)</v>
      </c>
      <c r="G36" s="208" t="str">
        <f ca="1">IF($D36&lt;&gt;"Serviço","",OFFSET(ORÇAMENTO!S$15,ROW(G36)-ROW(G$15),0))</f>
        <v>-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0</v>
      </c>
      <c r="I36" s="612"/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3</v>
      </c>
      <c r="N36" s="212" t="str">
        <f ca="1">IF($D36&lt;&gt;"Serviço","",IF(AUTOEVENTO="Manual",IF($A36=0,"&lt;-- defina o número do agrupador",OFFSET(EVENTOS!$D$14,$A36,0)),OFFSET($F$15,$A36,0)))</f>
        <v>FUNDAÇÃO E ESTRUTURA</v>
      </c>
      <c r="O36" s="213"/>
      <c r="Q36" s="213"/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0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1000000000000</v>
      </c>
      <c r="AN36" s="216">
        <f ca="1">IF($D36&lt;&gt;"Serviço",0,IF(AND(AUTOEVENTO="Manual",$M36=1),0,IF(OFFSET(CRONOPLE!$F$14,$M36,AN$13)="",10^12,OFFSET(CRONOPLE!$F$14,$M36,AN$13))))</f>
        <v>1000000000000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9" t="str">
        <f t="shared" ca="1" si="8"/>
        <v>9</v>
      </c>
      <c r="B37" s="9" t="str">
        <f ca="1">OFFSET(ORÇAMENTO!C$15,ROW(B37)-ROW(B$15),0)</f>
        <v>S</v>
      </c>
      <c r="C37" s="9" t="str">
        <f ca="1">OFFSET(ORÇAMENTO!L$15,ROW(C37)-ROW(C$15),0)</f>
        <v/>
      </c>
      <c r="D37" s="146" t="str">
        <f ca="1">OFFSET(ORÇAMENTO!N$15,ROW(D37)-ROW(D$15),0)</f>
        <v>Serviço</v>
      </c>
      <c r="E37" s="206" t="str">
        <f ca="1">OFFSET(ORÇAMENTO!O$15,ROW(E37)-ROW(E$15),0)</f>
        <v>-</v>
      </c>
      <c r="F37" s="207" t="str">
        <f ca="1">OFFSET(ORÇAMENTO!R$15,ROW(F37)-ROW(F$15),0)</f>
        <v>(Sem Código)</v>
      </c>
      <c r="G37" s="208" t="str">
        <f ca="1">IF($D37&lt;&gt;"Serviço","",OFFSET(ORÇAMENTO!S$15,ROW(G37)-ROW(G$15),0))</f>
        <v>-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0</v>
      </c>
      <c r="I37" s="612"/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3</v>
      </c>
      <c r="N37" s="212" t="str">
        <f ca="1">IF($D37&lt;&gt;"Serviço","",IF(AUTOEVENTO="Manual",IF($A37=0,"&lt;-- defina o número do agrupador",OFFSET(EVENTOS!$D$14,$A37,0)),OFFSET($F$15,$A37,0)))</f>
        <v>FUNDAÇÃO E ESTRUTURA</v>
      </c>
      <c r="O37" s="213"/>
      <c r="Q37" s="213"/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0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1000000000000</v>
      </c>
      <c r="AN37" s="216">
        <f ca="1">IF($D37&lt;&gt;"Serviço",0,IF(AND(AUTOEVENTO="Manual",$M37=1),0,IF(OFFSET(CRONOPLE!$F$14,$M37,AN$13)="",10^12,OFFSET(CRONOPLE!$F$14,$M37,AN$13))))</f>
        <v>1000000000000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9" t="str">
        <f t="shared" ca="1" si="8"/>
        <v>23.</v>
      </c>
      <c r="B38" s="9">
        <f ca="1">OFFSET(ORÇAMENTO!C$15,ROW(B38)-ROW(B$15),0)</f>
        <v>2</v>
      </c>
      <c r="C38" s="9" t="str">
        <f ca="1">OFFSET(ORÇAMENTO!L$15,ROW(C38)-ROW(C$15),0)</f>
        <v>F</v>
      </c>
      <c r="D38" s="146" t="str">
        <f ca="1">OFFSET(ORÇAMENTO!N$15,ROW(D38)-ROW(D$15),0)</f>
        <v>Nível 2</v>
      </c>
      <c r="E38" s="206" t="str">
        <f ca="1">OFFSET(ORÇAMENTO!O$15,ROW(E38)-ROW(E$15),0)</f>
        <v>1.3.</v>
      </c>
      <c r="F38" s="207" t="str">
        <f ca="1">OFFSET(ORÇAMENTO!R$15,ROW(F38)-ROW(F$15),0)</f>
        <v>PAREDES E FECHAMENTOS</v>
      </c>
      <c r="G38" s="208" t="str">
        <f ca="1">IF($D38&lt;&gt;"Serviço","",OFFSET(ORÇAMENTO!S$15,ROW(G38)-ROW(G$15),0))</f>
        <v/>
      </c>
      <c r="H38" s="152">
        <f ca="1">IF($D38&lt;&gt;"Serviço",0,IF(ACOMPANHAMENTO="BM",ROUND(OFFSET(ORÇAMENTO!AJ$15,ROW(H38)-ROW(H$15),0),15-13*ORÇAMENTO!$AF$7),SUMPRODUCT(($Q$12:$AA$12&lt;&gt;"")*ROUND($Q38:$AA38,15-13*ORÇAMENTO!$AF$7))))</f>
        <v>0</v>
      </c>
      <c r="I38" s="612"/>
      <c r="K38" s="209"/>
      <c r="L38" s="210" t="s">
        <v>254</v>
      </c>
      <c r="M38" s="211" t="str">
        <f ca="1">IF($D38&lt;&gt;"Serviço","",IF(AUTOEVENTO="manual",$A38,IF(ISERROR(MATCH($A38,$A$15:OFFSET($A38,-1,0),0)),MAX($M$15:OFFSET(M38,-1,0))+1,INDEX($M$15:OFFSET(M38,-1,0),MATCH($A38,$A$15:OFFSET($A38,-1,0),0)))))</f>
        <v/>
      </c>
      <c r="N38" s="212" t="str">
        <f ca="1">IF($D38&lt;&gt;"Serviço","",IF(AUTOEVENTO="Manual",IF($A38=0,"&lt;-- defina o número do agrupador",OFFSET(EVENTOS!$D$14,$A38,0)),OFFSET($F$15,$A38,0)))</f>
        <v/>
      </c>
      <c r="O38" s="213"/>
      <c r="Q38" s="213"/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0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0</v>
      </c>
      <c r="AN38" s="216">
        <f ca="1">IF($D38&lt;&gt;"Serviço",0,IF(AND(AUTOEVENTO="Manual",$M38=1),0,IF(OFFSET(CRONOPLE!$F$14,$M38,AN$13)="",10^12,OFFSET(CRONOPLE!$F$14,$M38,AN$13))))</f>
        <v>0</v>
      </c>
      <c r="AO38" s="216">
        <f ca="1">IF($D38&lt;&gt;"Serviço",0,IF(AND(AUTOEVENTO="Manual",$M38=1),0,IF(OFFSET(CRONOPLE!$F$14,$M38,AO$13)="",10^12,OFFSET(CRONOPLE!$F$14,$M38,AO$13))))</f>
        <v>0</v>
      </c>
      <c r="AP38" s="216">
        <f ca="1">IF($D38&lt;&gt;"Serviço",0,IF(AND(AUTOEVENTO="Manual",$M38=1),0,IF(OFFSET(CRONOPLE!$F$14,$M38,AP$13)="",10^12,OFFSET(CRONOPLE!$F$14,$M38,AP$13))))</f>
        <v>0</v>
      </c>
      <c r="AQ38" s="216">
        <f ca="1">IF($D38&lt;&gt;"Serviço",0,IF(AND(AUTOEVENTO="Manual",$M38=1),0,IF(OFFSET(CRONOPLE!$F$14,$M38,AQ$13)="",10^12,OFFSET(CRONOPLE!$F$14,$M38,AQ$13))))</f>
        <v>0</v>
      </c>
      <c r="AR38" s="216">
        <f ca="1">IF($D38&lt;&gt;"Serviço",0,IF(AND(AUTOEVENTO="Manual",$M38=1),0,IF(OFFSET(CRONOPLE!$F$14,$M38,AR$13)="",10^12,OFFSET(CRONOPLE!$F$14,$M38,AR$13))))</f>
        <v>0</v>
      </c>
      <c r="AS38" s="216">
        <f ca="1">IF($D38&lt;&gt;"Serviço",0,IF(AND(AUTOEVENTO="Manual",$M38=1),0,IF(OFFSET(CRONOPLE!$F$14,$M38,AS$13)="",10^12,OFFSET(CRONOPLE!$F$14,$M38,AS$13))))</f>
        <v>0</v>
      </c>
      <c r="AT38" s="216">
        <f ca="1">IF($D38&lt;&gt;"Serviço",0,IF(AND(AUTOEVENTO="Manual",$M38=1),0,IF(OFFSET(CRONOPLE!$F$14,$M38,AT$13)="",10^12,OFFSET(CRONOPLE!$F$14,$M38,AT$13))))</f>
        <v>0</v>
      </c>
      <c r="AU38" s="216">
        <f ca="1">IF($D38&lt;&gt;"Serviço",0,IF(AND(AUTOEVENTO="Manual",$M38=1),0,IF(OFFSET(CRONOPLE!$F$14,$M38,AU$13)="",10^12,OFFSET(CRONOPLE!$F$14,$M38,AU$13))))</f>
        <v>0</v>
      </c>
      <c r="AV38" s="216">
        <f ca="1">IF($D38&lt;&gt;"Serviço",0,IF(AND(AUTOEVENTO="Manual",$M38=1),0,IF(OFFSET(CRONOPLE!$F$14,$M38,AV$13)="",10^12,OFFSET(CRONOPLE!$F$14,$M38,AV$13))))</f>
        <v>0</v>
      </c>
      <c r="AX38" s="217">
        <f ca="1">IF($D38&lt;&gt;"Serviço",0,IF(OR(AND(AUTOEVENTO="Manual",$M38=1),$M38&gt;(ROW(PLE.lastrow)-ROW(PLE.firstrow))),0,IF(OFFSET(PLE!$G$14,$M38,AX$13)="",10^12,OFFSET(PLE!$G$14,$M38,AX$13))))</f>
        <v>0</v>
      </c>
      <c r="AY38" s="217">
        <f ca="1">IF($D38&lt;&gt;"Serviço",0,IF(OR(AND(AUTOEVENTO="Manual",$M38=1),$M38&gt;(ROW(PLE.lastrow)-ROW(PLE.firstrow))),0,IF(OFFSET(PLE!$G$14,$M38,AY$13)="",10^12,OFFSET(PLE!$G$14,$M38,AY$13))))</f>
        <v>0</v>
      </c>
      <c r="AZ38" s="217">
        <f ca="1">IF($D38&lt;&gt;"Serviço",0,IF(OR(AND(AUTOEVENTO="Manual",$M38=1),$M38&gt;(ROW(PLE.lastrow)-ROW(PLE.firstrow))),0,IF(OFFSET(PLE!$G$14,$M38,AZ$13)="",10^12,OFFSET(PLE!$G$14,$M38,AZ$13))))</f>
        <v>0</v>
      </c>
      <c r="BA38" s="217">
        <f ca="1">IF($D38&lt;&gt;"Serviço",0,IF(OR(AND(AUTOEVENTO="Manual",$M38=1),$M38&gt;(ROW(PLE.lastrow)-ROW(PLE.firstrow))),0,IF(OFFSET(PLE!$G$14,$M38,BA$13)="",10^12,OFFSET(PLE!$G$14,$M38,BA$13))))</f>
        <v>0</v>
      </c>
      <c r="BB38" s="217">
        <f ca="1">IF($D38&lt;&gt;"Serviço",0,IF(OR(AND(AUTOEVENTO="Manual",$M38=1),$M38&gt;(ROW(PLE.lastrow)-ROW(PLE.firstrow))),0,IF(OFFSET(PLE!$G$14,$M38,BB$13)="",10^12,OFFSET(PLE!$G$14,$M38,BB$13))))</f>
        <v>0</v>
      </c>
      <c r="BC38" s="217">
        <f ca="1">IF($D38&lt;&gt;"Serviço",0,IF(OR(AND(AUTOEVENTO="Manual",$M38=1),$M38&gt;(ROW(PLE.lastrow)-ROW(PLE.firstrow))),0,IF(OFFSET(PLE!$G$14,$M38,BC$13)="",10^12,OFFSET(PLE!$G$14,$M38,BC$13))))</f>
        <v>0</v>
      </c>
      <c r="BD38" s="217">
        <f ca="1">IF($D38&lt;&gt;"Serviço",0,IF(OR(AND(AUTOEVENTO="Manual",$M38=1),$M38&gt;(ROW(PLE.lastrow)-ROW(PLE.firstrow))),0,IF(OFFSET(PLE!$G$14,$M38,BD$13)="",10^12,OFFSET(PLE!$G$14,$M38,BD$13))))</f>
        <v>0</v>
      </c>
      <c r="BE38" s="217">
        <f ca="1">IF($D38&lt;&gt;"Serviço",0,IF(OR(AND(AUTOEVENTO="Manual",$M38=1),$M38&gt;(ROW(PLE.lastrow)-ROW(PLE.firstrow))),0,IF(OFFSET(PLE!$G$14,$M38,BE$13)="",10^12,OFFSET(PLE!$G$14,$M38,BE$13))))</f>
        <v>0</v>
      </c>
      <c r="BF38" s="217">
        <f ca="1">IF($D38&lt;&gt;"Serviço",0,IF(OR(AND(AUTOEVENTO="Manual",$M38=1),$M38&gt;(ROW(PLE.lastrow)-ROW(PLE.firstrow))),0,IF(OFFSET(PLE!$G$14,$M38,BF$13)="",10^12,OFFSET(PLE!$G$14,$M38,BF$13))))</f>
        <v>0</v>
      </c>
      <c r="BG38" s="217">
        <f ca="1">IF($D38&lt;&gt;"Serviço",0,IF(OR(AND(AUTOEVENTO="Manual",$M38=1),$M38&gt;(ROW(PLE.lastrow)-ROW(PLE.firstrow))),0,IF(OFFSET(PLE!$G$14,$M38,BG$13)="",10^12,OFFSET(PLE!$G$14,$M38,BG$13))))</f>
        <v>0</v>
      </c>
    </row>
    <row r="39" spans="1:59" ht="51" x14ac:dyDescent="0.2">
      <c r="A39" s="9" t="str">
        <f t="shared" ca="1" si="8"/>
        <v>23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6" t="str">
        <f ca="1">OFFSET(ORÇAMENTO!N$15,ROW(D39)-ROW(D$15),0)</f>
        <v>Serviço</v>
      </c>
      <c r="E39" s="206" t="str">
        <f ca="1">OFFSET(ORÇAMENTO!O$15,ROW(E39)-ROW(E$15),0)</f>
        <v>1.3.1.</v>
      </c>
      <c r="F39" s="207" t="str">
        <f ca="1">OFFSET(ORÇAMENTO!R$15,ROW(F39)-ROW(F$15),0)</f>
        <v>ALVENARIA DE VEDAÇÃO DE BLOCOS CERÂMICOS FURADOS NA VERTICAL DE 9X19X39CM (ESPESSURA 9CM) DE PAREDES COM ÁREA LÍQUIDA MAIOR OU IGUAL A 6M² SEM VÃOS E ARGAMASSA DE ASSENTAMENTO COM PREPARO MANUAL. AF_06/2014</v>
      </c>
      <c r="G39" s="208" t="str">
        <f ca="1">IF($D39&lt;&gt;"Serviço","",OFFSET(ORÇAMENTO!S$15,ROW(G39)-ROW(G$15),0))</f>
        <v>M2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260</v>
      </c>
      <c r="I39" s="612"/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PAREDES E FECHAMENTOS</v>
      </c>
      <c r="O39" s="213"/>
      <c r="Q39" s="213"/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0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1000000000000</v>
      </c>
      <c r="AN39" s="216">
        <f ca="1">IF($D39&lt;&gt;"Serviço",0,IF(AND(AUTOEVENTO="Manual",$M39=1),0,IF(OFFSET(CRONOPLE!$F$14,$M39,AN$13)="",10^12,OFFSET(CRONOPLE!$F$14,$M39,AN$13))))</f>
        <v>1000000000000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51" x14ac:dyDescent="0.2">
      <c r="A40" s="9" t="str">
        <f t="shared" ca="1" si="8"/>
        <v>23</v>
      </c>
      <c r="B40" s="9" t="str">
        <f ca="1">OFFSET(ORÇAMENTO!C$15,ROW(B40)-ROW(B$15),0)</f>
        <v>S</v>
      </c>
      <c r="C40" s="9" t="str">
        <f ca="1">OFFSET(ORÇAMENTO!L$15,ROW(C40)-ROW(C$15),0)</f>
        <v>F</v>
      </c>
      <c r="D40" s="146" t="str">
        <f ca="1">OFFSET(ORÇAMENTO!N$15,ROW(D40)-ROW(D$15),0)</f>
        <v>Serviço</v>
      </c>
      <c r="E40" s="206" t="str">
        <f ca="1">OFFSET(ORÇAMENTO!O$15,ROW(E40)-ROW(E$15),0)</f>
        <v>1.3.2.</v>
      </c>
      <c r="F40" s="207" t="str">
        <f ca="1">OFFSET(ORÇAMENTO!R$15,ROW(F40)-ROW(F$15),0)</f>
        <v>EMBOÇO OU MASSA ÚNICA EM ARGAMASSA TRAÇO 1:2:8, PREPARO MECÂNICO COM BETONEIRA 400 L, APLICADA MANUALMENTE EM PANOS CEGOS DE FACHADA (SEM PRESENÇA DE VÃOS), ESPESSURA DE 35 MM. AF_06/2014</v>
      </c>
      <c r="G40" s="208" t="str">
        <f ca="1">IF($D40&lt;&gt;"Serviço","",OFFSET(ORÇAMENTO!S$15,ROW(G40)-ROW(G$15),0))</f>
        <v>M2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261.08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PAREDES E FECHAMENTOS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1000000000000</v>
      </c>
      <c r="AN40" s="216">
        <f ca="1">IF($D40&lt;&gt;"Serviço",0,IF(AND(AUTOEVENTO="Manual",$M40=1),0,IF(OFFSET(CRONOPLE!$F$14,$M40,AN$13)="",10^12,OFFSET(CRONOPLE!$F$14,$M40,AN$13))))</f>
        <v>1000000000000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51" x14ac:dyDescent="0.2">
      <c r="A41" s="9" t="str">
        <f t="shared" ca="1" si="8"/>
        <v>23</v>
      </c>
      <c r="B41" s="9" t="str">
        <f ca="1">OFFSET(ORÇAMENTO!C$15,ROW(B41)-ROW(B$15),0)</f>
        <v>S</v>
      </c>
      <c r="C41" s="9" t="str">
        <f ca="1">OFFSET(ORÇAMENTO!L$15,ROW(C41)-ROW(C$15),0)</f>
        <v>F</v>
      </c>
      <c r="D41" s="146" t="str">
        <f ca="1">OFFSET(ORÇAMENTO!N$15,ROW(D41)-ROW(D$15),0)</f>
        <v>Serviço</v>
      </c>
      <c r="E41" s="206" t="str">
        <f ca="1">OFFSET(ORÇAMENTO!O$15,ROW(E41)-ROW(E$15),0)</f>
        <v>1.3.3.</v>
      </c>
      <c r="F41" s="207" t="str">
        <f ca="1">OFFSET(ORÇAMENTO!R$15,ROW(F41)-ROW(F$15),0)</f>
        <v>EMBOÇO, EM ARGAMASSA TRAÇO 1:2:8, PREPARO MANUAL, APLICADO MANUALMENTE EM FACES INTERNAS DE PAREDES, PARA AMBIENTE COM ÁREA  ENTRE 5M2 E 10M2, ESPESSURA DE 20MM, COM EXECUÇÃO DE TALISCAS. AF_06/2014</v>
      </c>
      <c r="G41" s="208" t="str">
        <f ca="1">IF($D41&lt;&gt;"Serviço","",OFFSET(ORÇAMENTO!S$15,ROW(G41)-ROW(G$15),0))</f>
        <v>M2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276.39999999999998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PAREDES E FECHAMENTOS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1000000000000</v>
      </c>
      <c r="AN41" s="216">
        <f ca="1">IF($D41&lt;&gt;"Serviço",0,IF(AND(AUTOEVENTO="Manual",$M41=1),0,IF(OFFSET(CRONOPLE!$F$14,$M41,AN$13)="",10^12,OFFSET(CRONOPLE!$F$14,$M41,AN$13))))</f>
        <v>1000000000000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51" x14ac:dyDescent="0.2">
      <c r="A42" s="9" t="str">
        <f t="shared" ca="1" si="8"/>
        <v>23</v>
      </c>
      <c r="B42" s="9" t="str">
        <f ca="1">OFFSET(ORÇAMENTO!C$15,ROW(B42)-ROW(B$15),0)</f>
        <v>S</v>
      </c>
      <c r="C42" s="9" t="str">
        <f ca="1">OFFSET(ORÇAMENTO!L$15,ROW(C42)-ROW(C$15),0)</f>
        <v>F</v>
      </c>
      <c r="D42" s="146" t="str">
        <f ca="1">OFFSET(ORÇAMENTO!N$15,ROW(D42)-ROW(D$15),0)</f>
        <v>Serviço</v>
      </c>
      <c r="E42" s="206" t="str">
        <f ca="1">OFFSET(ORÇAMENTO!O$15,ROW(E42)-ROW(E$15),0)</f>
        <v>1.3.4.</v>
      </c>
      <c r="F42" s="207" t="str">
        <f ca="1">OFFSET(ORÇAMENTO!R$15,ROW(F42)-ROW(F$15),0)</f>
        <v>CHAPISCO APLICADO EM ALVENARIA (SEM PRESENÇA DE VÃOS) E ESTRUTURAS DE CONCRETO DE FACHADA, COM COLHER DE PEDREIRO.  ARGAMASSA TRAÇO 1:3 COM PREPARO EM BETONEIRA 400L. AF_06/2014</v>
      </c>
      <c r="G42" s="208" t="str">
        <f ca="1">IF($D42&lt;&gt;"Serviço","",OFFSET(ORÇAMENTO!S$15,ROW(G42)-ROW(G$15),0))</f>
        <v>M2</v>
      </c>
      <c r="H42" s="152">
        <f ca="1">IF($D42&lt;&gt;"Serviço",0,IF(ACOMPANHAMENTO="BM",ROUND(OFFSET(ORÇAMENTO!AJ$15,ROW(H42)-ROW(H$15),0),15-13*ORÇAMENTO!$AF$7),SUMPRODUCT(($Q$12:$AA$12&lt;&gt;"")*ROUND($Q42:$AA42,15-13*ORÇAMENTO!$AF$7))))</f>
        <v>532</v>
      </c>
      <c r="I42" s="612"/>
      <c r="K42" s="209"/>
      <c r="L42" s="210" t="s">
        <v>254</v>
      </c>
      <c r="M42" s="211">
        <f ca="1">IF($D42&lt;&gt;"Serviço","",IF(AUTOEVENTO="manual",$A42,IF(ISERROR(MATCH($A42,$A$15:OFFSET($A42,-1,0),0)),MAX($M$15:OFFSET(M42,-1,0))+1,INDEX($M$15:OFFSET(M42,-1,0),MATCH($A42,$A$15:OFFSET($A42,-1,0),0)))))</f>
        <v>4</v>
      </c>
      <c r="N42" s="212" t="str">
        <f ca="1">IF($D42&lt;&gt;"Serviço","",IF(AUTOEVENTO="Manual",IF($A42=0,"&lt;-- defina o número do agrupador",OFFSET(EVENTOS!$D$14,$A42,0)),OFFSET($F$15,$A42,0)))</f>
        <v>PAREDES E FECHAMENTOS</v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1000000000000</v>
      </c>
      <c r="AN42" s="216">
        <f ca="1">IF($D42&lt;&gt;"Serviço",0,IF(AND(AUTOEVENTO="Manual",$M42=1),0,IF(OFFSET(CRONOPLE!$F$14,$M42,AN$13)="",10^12,OFFSET(CRONOPLE!$F$14,$M42,AN$13))))</f>
        <v>1000000000000</v>
      </c>
      <c r="AO42" s="216">
        <f ca="1">IF($D42&lt;&gt;"Serviço",0,IF(AND(AUTOEVENTO="Manual",$M42=1),0,IF(OFFSET(CRONOPLE!$F$14,$M42,AO$13)="",10^12,OFFSET(CRONOPLE!$F$14,$M42,AO$13))))</f>
        <v>1000000000000</v>
      </c>
      <c r="AP42" s="216">
        <f ca="1">IF($D42&lt;&gt;"Serviço",0,IF(AND(AUTOEVENTO="Manual",$M42=1),0,IF(OFFSET(CRONOPLE!$F$14,$M42,AP$13)="",10^12,OFFSET(CRONOPLE!$F$14,$M42,AP$13))))</f>
        <v>1000000000000</v>
      </c>
      <c r="AQ42" s="216">
        <f ca="1">IF($D42&lt;&gt;"Serviço",0,IF(AND(AUTOEVENTO="Manual",$M42=1),0,IF(OFFSET(CRONOPLE!$F$14,$M42,AQ$13)="",10^12,OFFSET(CRONOPLE!$F$14,$M42,AQ$13))))</f>
        <v>1000000000000</v>
      </c>
      <c r="AR42" s="216">
        <f ca="1">IF($D42&lt;&gt;"Serviço",0,IF(AND(AUTOEVENTO="Manual",$M42=1),0,IF(OFFSET(CRONOPLE!$F$14,$M42,AR$13)="",10^12,OFFSET(CRONOPLE!$F$14,$M42,AR$13))))</f>
        <v>1000000000000</v>
      </c>
      <c r="AS42" s="216">
        <f ca="1">IF($D42&lt;&gt;"Serviço",0,IF(AND(AUTOEVENTO="Manual",$M42=1),0,IF(OFFSET(CRONOPLE!$F$14,$M42,AS$13)="",10^12,OFFSET(CRONOPLE!$F$14,$M42,AS$13))))</f>
        <v>1000000000000</v>
      </c>
      <c r="AT42" s="216">
        <f ca="1">IF($D42&lt;&gt;"Serviço",0,IF(AND(AUTOEVENTO="Manual",$M42=1),0,IF(OFFSET(CRONOPLE!$F$14,$M42,AT$13)="",10^12,OFFSET(CRONOPLE!$F$14,$M42,AT$13))))</f>
        <v>1000000000000</v>
      </c>
      <c r="AU42" s="216">
        <f ca="1">IF($D42&lt;&gt;"Serviço",0,IF(AND(AUTOEVENTO="Manual",$M42=1),0,IF(OFFSET(CRONOPLE!$F$14,$M42,AU$13)="",10^12,OFFSET(CRONOPLE!$F$14,$M42,AU$13))))</f>
        <v>1000000000000</v>
      </c>
      <c r="AV42" s="216">
        <f ca="1">IF($D42&lt;&gt;"Serviço",0,IF(AND(AUTOEVENTO="Manual",$M42=1),0,IF(OFFSET(CRONOPLE!$F$14,$M42,AV$13)="",10^12,OFFSET(CRONOPLE!$F$14,$M42,AV$13))))</f>
        <v>1000000000000</v>
      </c>
      <c r="AX42" s="217">
        <f ca="1">IF($D42&lt;&gt;"Serviço",0,IF(OR(AND(AUTOEVENTO="Manual",$M42=1),$M42&gt;(ROW(PLE.lastrow)-ROW(PLE.firstrow))),0,IF(OFFSET(PLE!$G$14,$M42,AX$13)="",10^12,OFFSET(PLE!$G$14,$M42,AX$13))))</f>
        <v>1000000000000</v>
      </c>
      <c r="AY42" s="217">
        <f ca="1">IF($D42&lt;&gt;"Serviço",0,IF(OR(AND(AUTOEVENTO="Manual",$M42=1),$M42&gt;(ROW(PLE.lastrow)-ROW(PLE.firstrow))),0,IF(OFFSET(PLE!$G$14,$M42,AY$13)="",10^12,OFFSET(PLE!$G$14,$M42,AY$13))))</f>
        <v>1000000000000</v>
      </c>
      <c r="AZ42" s="217">
        <f ca="1">IF($D42&lt;&gt;"Serviço",0,IF(OR(AND(AUTOEVENTO="Manual",$M42=1),$M42&gt;(ROW(PLE.lastrow)-ROW(PLE.firstrow))),0,IF(OFFSET(PLE!$G$14,$M42,AZ$13)="",10^12,OFFSET(PLE!$G$14,$M42,AZ$13))))</f>
        <v>1000000000000</v>
      </c>
      <c r="BA42" s="217">
        <f ca="1">IF($D42&lt;&gt;"Serviço",0,IF(OR(AND(AUTOEVENTO="Manual",$M42=1),$M42&gt;(ROW(PLE.lastrow)-ROW(PLE.firstrow))),0,IF(OFFSET(PLE!$G$14,$M42,BA$13)="",10^12,OFFSET(PLE!$G$14,$M42,BA$13))))</f>
        <v>1000000000000</v>
      </c>
      <c r="BB42" s="217">
        <f ca="1">IF($D42&lt;&gt;"Serviço",0,IF(OR(AND(AUTOEVENTO="Manual",$M42=1),$M42&gt;(ROW(PLE.lastrow)-ROW(PLE.firstrow))),0,IF(OFFSET(PLE!$G$14,$M42,BB$13)="",10^12,OFFSET(PLE!$G$14,$M42,BB$13))))</f>
        <v>1000000000000</v>
      </c>
      <c r="BC42" s="217">
        <f ca="1">IF($D42&lt;&gt;"Serviço",0,IF(OR(AND(AUTOEVENTO="Manual",$M42=1),$M42&gt;(ROW(PLE.lastrow)-ROW(PLE.firstrow))),0,IF(OFFSET(PLE!$G$14,$M42,BC$13)="",10^12,OFFSET(PLE!$G$14,$M42,BC$13))))</f>
        <v>1000000000000</v>
      </c>
      <c r="BD42" s="217">
        <f ca="1">IF($D42&lt;&gt;"Serviço",0,IF(OR(AND(AUTOEVENTO="Manual",$M42=1),$M42&gt;(ROW(PLE.lastrow)-ROW(PLE.firstrow))),0,IF(OFFSET(PLE!$G$14,$M42,BD$13)="",10^12,OFFSET(PLE!$G$14,$M42,BD$13))))</f>
        <v>1000000000000</v>
      </c>
      <c r="BE42" s="217">
        <f ca="1">IF($D42&lt;&gt;"Serviço",0,IF(OR(AND(AUTOEVENTO="Manual",$M42=1),$M42&gt;(ROW(PLE.lastrow)-ROW(PLE.firstrow))),0,IF(OFFSET(PLE!$G$14,$M42,BE$13)="",10^12,OFFSET(PLE!$G$14,$M42,BE$13))))</f>
        <v>1000000000000</v>
      </c>
      <c r="BF42" s="217">
        <f ca="1">IF($D42&lt;&gt;"Serviço",0,IF(OR(AND(AUTOEVENTO="Manual",$M42=1),$M42&gt;(ROW(PLE.lastrow)-ROW(PLE.firstrow))),0,IF(OFFSET(PLE!$G$14,$M42,BF$13)="",10^12,OFFSET(PLE!$G$14,$M42,BF$13))))</f>
        <v>1000000000000</v>
      </c>
      <c r="BG42" s="217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9" t="str">
        <f t="shared" ca="1" si="8"/>
        <v>23</v>
      </c>
      <c r="B43" s="9" t="str">
        <f ca="1">OFFSET(ORÇAMENTO!C$15,ROW(B43)-ROW(B$15),0)</f>
        <v>S</v>
      </c>
      <c r="C43" s="9" t="str">
        <f ca="1">OFFSET(ORÇAMENTO!L$15,ROW(C43)-ROW(C$15),0)</f>
        <v/>
      </c>
      <c r="D43" s="146" t="str">
        <f ca="1">OFFSET(ORÇAMENTO!N$15,ROW(D43)-ROW(D$15),0)</f>
        <v>Serviço</v>
      </c>
      <c r="E43" s="206" t="str">
        <f ca="1">OFFSET(ORÇAMENTO!O$15,ROW(E43)-ROW(E$15),0)</f>
        <v>-</v>
      </c>
      <c r="F43" s="207" t="str">
        <f ca="1">OFFSET(ORÇAMENTO!R$15,ROW(F43)-ROW(F$15),0)</f>
        <v>(Sem Código)</v>
      </c>
      <c r="G43" s="208" t="str">
        <f ca="1">IF($D43&lt;&gt;"Serviço","",OFFSET(ORÇAMENTO!S$15,ROW(G43)-ROW(G$15),0))</f>
        <v>-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0</v>
      </c>
      <c r="I43" s="612"/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4</v>
      </c>
      <c r="N43" s="212" t="str">
        <f ca="1">IF($D43&lt;&gt;"Serviço","",IF(AUTOEVENTO="Manual",IF($A43=0,"&lt;-- defina o número do agrupador",OFFSET(EVENTOS!$D$14,$A43,0)),OFFSET($F$15,$A43,0)))</f>
        <v>PAREDES E FECHAMENTOS</v>
      </c>
      <c r="O43" s="213"/>
      <c r="Q43" s="213"/>
      <c r="R43" s="214"/>
      <c r="S43" s="214"/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0</v>
      </c>
      <c r="AD43" s="594">
        <f ca="1">IF(AND($D43="Serviço",AD$12&lt;&gt;0,$H43&gt;0,OR(AUTOEVENTO&lt;&gt;"manual",$M43&lt;&gt;1)),ROUND(OFFSET($P43,0,AD$13),15-13*ORÇAMENTO!$AF$7)/$H43*OFFSET(ORÇAMENTO!$X$15,ROW(AD43)-ROW(AD$15),0),0)</f>
        <v>0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1000000000000</v>
      </c>
      <c r="AO43" s="216">
        <f ca="1">IF($D43&lt;&gt;"Serviço",0,IF(AND(AUTOEVENTO="Manual",$M43=1),0,IF(OFFSET(CRONOPLE!$F$14,$M43,AO$13)="",10^12,OFFSET(CRONOPLE!$F$14,$M43,AO$13))))</f>
        <v>1000000000000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9" t="str">
        <f t="shared" ca="1" si="8"/>
        <v>23</v>
      </c>
      <c r="B44" s="9" t="str">
        <f ca="1">OFFSET(ORÇAMENTO!C$15,ROW(B44)-ROW(B$15),0)</f>
        <v>S</v>
      </c>
      <c r="C44" s="9" t="str">
        <f ca="1">OFFSET(ORÇAMENTO!L$15,ROW(C44)-ROW(C$15),0)</f>
        <v/>
      </c>
      <c r="D44" s="146" t="str">
        <f ca="1">OFFSET(ORÇAMENTO!N$15,ROW(D44)-ROW(D$15),0)</f>
        <v>Serviço</v>
      </c>
      <c r="E44" s="206" t="str">
        <f ca="1">OFFSET(ORÇAMENTO!O$15,ROW(E44)-ROW(E$15),0)</f>
        <v>-</v>
      </c>
      <c r="F44" s="207" t="str">
        <f ca="1">OFFSET(ORÇAMENTO!R$15,ROW(F44)-ROW(F$15),0)</f>
        <v>(Sem Código)</v>
      </c>
      <c r="G44" s="208" t="str">
        <f ca="1">IF($D44&lt;&gt;"Serviço","",OFFSET(ORÇAMENTO!S$15,ROW(G44)-ROW(G$15),0))</f>
        <v>-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0</v>
      </c>
      <c r="I44" s="612"/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4</v>
      </c>
      <c r="N44" s="212" t="str">
        <f ca="1">IF($D44&lt;&gt;"Serviço","",IF(AUTOEVENTO="Manual",IF($A44=0,"&lt;-- defina o número do agrupador",OFFSET(EVENTOS!$D$14,$A44,0)),OFFSET($F$15,$A44,0)))</f>
        <v>PAREDES E FECHAMENTOS</v>
      </c>
      <c r="O44" s="213"/>
      <c r="Q44" s="213"/>
      <c r="R44" s="214"/>
      <c r="S44" s="214"/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0</v>
      </c>
      <c r="AD44" s="594">
        <f ca="1">IF(AND($D44="Serviço",AD$12&lt;&gt;0,$H44&gt;0,OR(AUTOEVENTO&lt;&gt;"manual",$M44&lt;&gt;1)),ROUND(OFFSET($P44,0,AD$13),15-13*ORÇAMENTO!$AF$7)/$H44*OFFSET(ORÇAMENTO!$X$15,ROW(AD44)-ROW(AD$15),0),0)</f>
        <v>0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1000000000000</v>
      </c>
      <c r="AO44" s="216">
        <f ca="1">IF($D44&lt;&gt;"Serviço",0,IF(AND(AUTOEVENTO="Manual",$M44=1),0,IF(OFFSET(CRONOPLE!$F$14,$M44,AO$13)="",10^12,OFFSET(CRONOPLE!$F$14,$M44,AO$13))))</f>
        <v>1000000000000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9" t="str">
        <f t="shared" ca="1" si="8"/>
        <v>23</v>
      </c>
      <c r="B45" s="9" t="str">
        <f ca="1">OFFSET(ORÇAMENTO!C$15,ROW(B45)-ROW(B$15),0)</f>
        <v>S</v>
      </c>
      <c r="C45" s="9" t="str">
        <f ca="1">OFFSET(ORÇAMENTO!L$15,ROW(C45)-ROW(C$15),0)</f>
        <v/>
      </c>
      <c r="D45" s="146" t="str">
        <f ca="1">OFFSET(ORÇAMENTO!N$15,ROW(D45)-ROW(D$15),0)</f>
        <v>Serviço</v>
      </c>
      <c r="E45" s="206" t="str">
        <f ca="1">OFFSET(ORÇAMENTO!O$15,ROW(E45)-ROW(E$15),0)</f>
        <v>-</v>
      </c>
      <c r="F45" s="207" t="str">
        <f ca="1">OFFSET(ORÇAMENTO!R$15,ROW(F45)-ROW(F$15),0)</f>
        <v>(Sem Código)</v>
      </c>
      <c r="G45" s="208" t="str">
        <f ca="1">IF($D45&lt;&gt;"Serviço","",OFFSET(ORÇAMENTO!S$15,ROW(G45)-ROW(G$15),0))</f>
        <v>-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0</v>
      </c>
      <c r="I45" s="612"/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4</v>
      </c>
      <c r="N45" s="212" t="str">
        <f ca="1">IF($D45&lt;&gt;"Serviço","",IF(AUTOEVENTO="Manual",IF($A45=0,"&lt;-- defina o número do agrupador",OFFSET(EVENTOS!$D$14,$A45,0)),OFFSET($F$15,$A45,0)))</f>
        <v>PAREDES E FECHAMENTOS</v>
      </c>
      <c r="O45" s="213"/>
      <c r="Q45" s="213"/>
      <c r="R45" s="214"/>
      <c r="S45" s="214"/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0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1000000000000</v>
      </c>
      <c r="AO45" s="216">
        <f ca="1">IF($D45&lt;&gt;"Serviço",0,IF(AND(AUTOEVENTO="Manual",$M45=1),0,IF(OFFSET(CRONOPLE!$F$14,$M45,AO$13)="",10^12,OFFSET(CRONOPLE!$F$14,$M45,AO$13))))</f>
        <v>1000000000000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9" t="str">
        <f t="shared" ca="1" si="8"/>
        <v>23</v>
      </c>
      <c r="B46" s="9" t="str">
        <f ca="1">OFFSET(ORÇAMENTO!C$15,ROW(B46)-ROW(B$15),0)</f>
        <v>S</v>
      </c>
      <c r="C46" s="9" t="str">
        <f ca="1">OFFSET(ORÇAMENTO!L$15,ROW(C46)-ROW(C$15),0)</f>
        <v/>
      </c>
      <c r="D46" s="146" t="str">
        <f ca="1">OFFSET(ORÇAMENTO!N$15,ROW(D46)-ROW(D$15),0)</f>
        <v>Serviço</v>
      </c>
      <c r="E46" s="206" t="str">
        <f ca="1">OFFSET(ORÇAMENTO!O$15,ROW(E46)-ROW(E$15),0)</f>
        <v>-</v>
      </c>
      <c r="F46" s="207" t="str">
        <f ca="1">OFFSET(ORÇAMENTO!R$15,ROW(F46)-ROW(F$15),0)</f>
        <v>(Sem Código)</v>
      </c>
      <c r="G46" s="208" t="str">
        <f ca="1">IF($D46&lt;&gt;"Serviço","",OFFSET(ORÇAMENTO!S$15,ROW(G46)-ROW(G$15),0))</f>
        <v>-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0</v>
      </c>
      <c r="I46" s="612"/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4</v>
      </c>
      <c r="N46" s="212" t="str">
        <f ca="1">IF($D46&lt;&gt;"Serviço","",IF(AUTOEVENTO="Manual",IF($A46=0,"&lt;-- defina o número do agrupador",OFFSET(EVENTOS!$D$14,$A46,0)),OFFSET($F$15,$A46,0)))</f>
        <v>PAREDES E FECHAMENTOS</v>
      </c>
      <c r="O46" s="213"/>
      <c r="Q46" s="213"/>
      <c r="R46" s="214"/>
      <c r="S46" s="214"/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0</v>
      </c>
      <c r="AD46" s="594">
        <f ca="1">IF(AND($D46="Serviço",AD$12&lt;&gt;0,$H46&gt;0,OR(AUTOEVENTO&lt;&gt;"manual",$M46&lt;&gt;1)),ROUND(OFFSET($P46,0,AD$13),15-13*ORÇAMENTO!$AF$7)/$H46*OFFSET(ORÇAMENTO!$X$15,ROW(AD46)-ROW(AD$15),0),0)</f>
        <v>0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1000000000000</v>
      </c>
      <c r="AO46" s="216">
        <f ca="1">IF($D46&lt;&gt;"Serviço",0,IF(AND(AUTOEVENTO="Manual",$M46=1),0,IF(OFFSET(CRONOPLE!$F$14,$M46,AO$13)="",10^12,OFFSET(CRONOPLE!$F$14,$M46,AO$13))))</f>
        <v>1000000000000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9" t="str">
        <f t="shared" ca="1" si="8"/>
        <v>23</v>
      </c>
      <c r="B47" s="9" t="str">
        <f ca="1">OFFSET(ORÇAMENTO!C$15,ROW(B47)-ROW(B$15),0)</f>
        <v>S</v>
      </c>
      <c r="C47" s="9" t="str">
        <f ca="1">OFFSET(ORÇAMENTO!L$15,ROW(C47)-ROW(C$15),0)</f>
        <v/>
      </c>
      <c r="D47" s="146" t="str">
        <f ca="1">OFFSET(ORÇAMENTO!N$15,ROW(D47)-ROW(D$15),0)</f>
        <v>Serviço</v>
      </c>
      <c r="E47" s="206" t="str">
        <f ca="1">OFFSET(ORÇAMENTO!O$15,ROW(E47)-ROW(E$15),0)</f>
        <v>-</v>
      </c>
      <c r="F47" s="207" t="str">
        <f ca="1">OFFSET(ORÇAMENTO!R$15,ROW(F47)-ROW(F$15),0)</f>
        <v>(Sem Código)</v>
      </c>
      <c r="G47" s="208" t="str">
        <f ca="1">IF($D47&lt;&gt;"Serviço","",OFFSET(ORÇAMENTO!S$15,ROW(G47)-ROW(G$15),0))</f>
        <v>-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0</v>
      </c>
      <c r="I47" s="612"/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4</v>
      </c>
      <c r="N47" s="212" t="str">
        <f ca="1">IF($D47&lt;&gt;"Serviço","",IF(AUTOEVENTO="Manual",IF($A47=0,"&lt;-- defina o número do agrupador",OFFSET(EVENTOS!$D$14,$A47,0)),OFFSET($F$15,$A47,0)))</f>
        <v>PAREDES E FECHAMENTOS</v>
      </c>
      <c r="O47" s="213"/>
      <c r="Q47" s="213"/>
      <c r="R47" s="214"/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0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1000000000000</v>
      </c>
      <c r="AO47" s="216">
        <f ca="1">IF($D47&lt;&gt;"Serviço",0,IF(AND(AUTOEVENTO="Manual",$M47=1),0,IF(OFFSET(CRONOPLE!$F$14,$M47,AO$13)="",10^12,OFFSET(CRONOPLE!$F$14,$M47,AO$13))))</f>
        <v>1000000000000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9" t="str">
        <f t="shared" ca="1" si="8"/>
        <v>23</v>
      </c>
      <c r="B48" s="9" t="str">
        <f ca="1">OFFSET(ORÇAMENTO!C$15,ROW(B48)-ROW(B$15),0)</f>
        <v>S</v>
      </c>
      <c r="C48" s="9" t="str">
        <f ca="1">OFFSET(ORÇAMENTO!L$15,ROW(C48)-ROW(C$15),0)</f>
        <v/>
      </c>
      <c r="D48" s="146" t="str">
        <f ca="1">OFFSET(ORÇAMENTO!N$15,ROW(D48)-ROW(D$15),0)</f>
        <v>Serviço</v>
      </c>
      <c r="E48" s="206" t="str">
        <f ca="1">OFFSET(ORÇAMENTO!O$15,ROW(E48)-ROW(E$15),0)</f>
        <v>-</v>
      </c>
      <c r="F48" s="207" t="str">
        <f ca="1">OFFSET(ORÇAMENTO!R$15,ROW(F48)-ROW(F$15),0)</f>
        <v>(Sem Código)</v>
      </c>
      <c r="G48" s="208" t="str">
        <f ca="1">IF($D48&lt;&gt;"Serviço","",OFFSET(ORÇAMENTO!S$15,ROW(G48)-ROW(G$15),0))</f>
        <v>-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0</v>
      </c>
      <c r="I48" s="612"/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4</v>
      </c>
      <c r="N48" s="212" t="str">
        <f ca="1">IF($D48&lt;&gt;"Serviço","",IF(AUTOEVENTO="Manual",IF($A48=0,"&lt;-- defina o número do agrupador",OFFSET(EVENTOS!$D$14,$A48,0)),OFFSET($F$15,$A48,0)))</f>
        <v>PAREDES E FECHAMENTOS</v>
      </c>
      <c r="O48" s="213"/>
      <c r="Q48" s="213"/>
      <c r="R48" s="214"/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0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1000000000000</v>
      </c>
      <c r="AO48" s="216">
        <f ca="1">IF($D48&lt;&gt;"Serviço",0,IF(AND(AUTOEVENTO="Manual",$M48=1),0,IF(OFFSET(CRONOPLE!$F$14,$M48,AO$13)="",10^12,OFFSET(CRONOPLE!$F$14,$M48,AO$13))))</f>
        <v>1000000000000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9" t="str">
        <f t="shared" ca="1" si="8"/>
        <v>23</v>
      </c>
      <c r="B49" s="9" t="str">
        <f ca="1">OFFSET(ORÇAMENTO!C$15,ROW(B49)-ROW(B$15),0)</f>
        <v>S</v>
      </c>
      <c r="C49" s="9" t="str">
        <f ca="1">OFFSET(ORÇAMENTO!L$15,ROW(C49)-ROW(C$15),0)</f>
        <v/>
      </c>
      <c r="D49" s="146" t="str">
        <f ca="1">OFFSET(ORÇAMENTO!N$15,ROW(D49)-ROW(D$15),0)</f>
        <v>Serviço</v>
      </c>
      <c r="E49" s="206" t="str">
        <f ca="1">OFFSET(ORÇAMENTO!O$15,ROW(E49)-ROW(E$15),0)</f>
        <v>-</v>
      </c>
      <c r="F49" s="207" t="str">
        <f ca="1">OFFSET(ORÇAMENTO!R$15,ROW(F49)-ROW(F$15),0)</f>
        <v>(Sem Código)</v>
      </c>
      <c r="G49" s="208" t="str">
        <f ca="1">IF($D49&lt;&gt;"Serviço","",OFFSET(ORÇAMENTO!S$15,ROW(G49)-ROW(G$15),0))</f>
        <v>-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0</v>
      </c>
      <c r="I49" s="612"/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4</v>
      </c>
      <c r="N49" s="212" t="str">
        <f ca="1">IF($D49&lt;&gt;"Serviço","",IF(AUTOEVENTO="Manual",IF($A49=0,"&lt;-- defina o número do agrupador",OFFSET(EVENTOS!$D$14,$A49,0)),OFFSET($F$15,$A49,0)))</f>
        <v>PAREDES E FECHAMENTOS</v>
      </c>
      <c r="O49" s="213"/>
      <c r="Q49" s="213"/>
      <c r="R49" s="214"/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0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1000000000000</v>
      </c>
      <c r="AO49" s="216">
        <f ca="1">IF($D49&lt;&gt;"Serviço",0,IF(AND(AUTOEVENTO="Manual",$M49=1),0,IF(OFFSET(CRONOPLE!$F$14,$M49,AO$13)="",10^12,OFFSET(CRONOPLE!$F$14,$M49,AO$13))))</f>
        <v>1000000000000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35.</v>
      </c>
      <c r="B50" s="9">
        <f ca="1">OFFSET(ORÇAMENTO!C$15,ROW(B50)-ROW(B$15),0)</f>
        <v>2</v>
      </c>
      <c r="C50" s="9" t="str">
        <f ca="1">OFFSET(ORÇAMENTO!L$15,ROW(C50)-ROW(C$15),0)</f>
        <v>F</v>
      </c>
      <c r="D50" s="146" t="str">
        <f ca="1">OFFSET(ORÇAMENTO!N$15,ROW(D50)-ROW(D$15),0)</f>
        <v>Nível 2</v>
      </c>
      <c r="E50" s="206" t="str">
        <f ca="1">OFFSET(ORÇAMENTO!O$15,ROW(E50)-ROW(E$15),0)</f>
        <v>1.4.</v>
      </c>
      <c r="F50" s="207" t="str">
        <f ca="1">OFFSET(ORÇAMENTO!R$15,ROW(F50)-ROW(F$15),0)</f>
        <v>COBERTURA</v>
      </c>
      <c r="G50" s="208" t="str">
        <f ca="1">IF($D50&lt;&gt;"Serviço","",OFFSET(ORÇAMENTO!S$15,ROW(G50)-ROW(G$15),0))</f>
        <v/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 t="str">
        <f ca="1">IF($D50&lt;&gt;"Serviço","",IF(AUTOEVENTO="manual",$A50,IF(ISERROR(MATCH($A50,$A$15:OFFSET($A50,-1,0),0)),MAX($M$15:OFFSET(M50,-1,0))+1,INDEX($M$15:OFFSET(M50,-1,0),MATCH($A50,$A$15:OFFSET($A50,-1,0),0)))))</f>
        <v/>
      </c>
      <c r="N50" s="212" t="str">
        <f ca="1">IF($D50&lt;&gt;"Serviço","",IF(AUTOEVENTO="Manual",IF($A50=0,"&lt;-- defina o número do agrupador",OFFSET(EVENTOS!$D$14,$A50,0)),OFFSET($F$15,$A50,0)))</f>
        <v/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0</v>
      </c>
      <c r="AN50" s="216">
        <f ca="1">IF($D50&lt;&gt;"Serviço",0,IF(AND(AUTOEVENTO="Manual",$M50=1),0,IF(OFFSET(CRONOPLE!$F$14,$M50,AN$13)="",10^12,OFFSET(CRONOPLE!$F$14,$M50,AN$13))))</f>
        <v>0</v>
      </c>
      <c r="AO50" s="216">
        <f ca="1">IF($D50&lt;&gt;"Serviço",0,IF(AND(AUTOEVENTO="Manual",$M50=1),0,IF(OFFSET(CRONOPLE!$F$14,$M50,AO$13)="",10^12,OFFSET(CRONOPLE!$F$14,$M50,AO$13))))</f>
        <v>0</v>
      </c>
      <c r="AP50" s="216">
        <f ca="1">IF($D50&lt;&gt;"Serviço",0,IF(AND(AUTOEVENTO="Manual",$M50=1),0,IF(OFFSET(CRONOPLE!$F$14,$M50,AP$13)="",10^12,OFFSET(CRONOPLE!$F$14,$M50,AP$13))))</f>
        <v>0</v>
      </c>
      <c r="AQ50" s="216">
        <f ca="1">IF($D50&lt;&gt;"Serviço",0,IF(AND(AUTOEVENTO="Manual",$M50=1),0,IF(OFFSET(CRONOPLE!$F$14,$M50,AQ$13)="",10^12,OFFSET(CRONOPLE!$F$14,$M50,AQ$13))))</f>
        <v>0</v>
      </c>
      <c r="AR50" s="216">
        <f ca="1">IF($D50&lt;&gt;"Serviço",0,IF(AND(AUTOEVENTO="Manual",$M50=1),0,IF(OFFSET(CRONOPLE!$F$14,$M50,AR$13)="",10^12,OFFSET(CRONOPLE!$F$14,$M50,AR$13))))</f>
        <v>0</v>
      </c>
      <c r="AS50" s="216">
        <f ca="1">IF($D50&lt;&gt;"Serviço",0,IF(AND(AUTOEVENTO="Manual",$M50=1),0,IF(OFFSET(CRONOPLE!$F$14,$M50,AS$13)="",10^12,OFFSET(CRONOPLE!$F$14,$M50,AS$13))))</f>
        <v>0</v>
      </c>
      <c r="AT50" s="216">
        <f ca="1">IF($D50&lt;&gt;"Serviço",0,IF(AND(AUTOEVENTO="Manual",$M50=1),0,IF(OFFSET(CRONOPLE!$F$14,$M50,AT$13)="",10^12,OFFSET(CRONOPLE!$F$14,$M50,AT$13))))</f>
        <v>0</v>
      </c>
      <c r="AU50" s="216">
        <f ca="1">IF($D50&lt;&gt;"Serviço",0,IF(AND(AUTOEVENTO="Manual",$M50=1),0,IF(OFFSET(CRONOPLE!$F$14,$M50,AU$13)="",10^12,OFFSET(CRONOPLE!$F$14,$M50,AU$13))))</f>
        <v>0</v>
      </c>
      <c r="AV50" s="216">
        <f ca="1">IF($D50&lt;&gt;"Serviço",0,IF(AND(AUTOEVENTO="Manual",$M50=1),0,IF(OFFSET(CRONOPLE!$F$14,$M50,AV$13)="",10^12,OFFSET(CRONOPLE!$F$14,$M50,AV$13))))</f>
        <v>0</v>
      </c>
      <c r="AX50" s="217">
        <f ca="1">IF($D50&lt;&gt;"Serviço",0,IF(OR(AND(AUTOEVENTO="Manual",$M50=1),$M50&gt;(ROW(PLE.lastrow)-ROW(PLE.firstrow))),0,IF(OFFSET(PLE!$G$14,$M50,AX$13)="",10^12,OFFSET(PLE!$G$14,$M50,AX$13))))</f>
        <v>0</v>
      </c>
      <c r="AY50" s="217">
        <f ca="1">IF($D50&lt;&gt;"Serviço",0,IF(OR(AND(AUTOEVENTO="Manual",$M50=1),$M50&gt;(ROW(PLE.lastrow)-ROW(PLE.firstrow))),0,IF(OFFSET(PLE!$G$14,$M50,AY$13)="",10^12,OFFSET(PLE!$G$14,$M50,AY$13))))</f>
        <v>0</v>
      </c>
      <c r="AZ50" s="217">
        <f ca="1">IF($D50&lt;&gt;"Serviço",0,IF(OR(AND(AUTOEVENTO="Manual",$M50=1),$M50&gt;(ROW(PLE.lastrow)-ROW(PLE.firstrow))),0,IF(OFFSET(PLE!$G$14,$M50,AZ$13)="",10^12,OFFSET(PLE!$G$14,$M50,AZ$13))))</f>
        <v>0</v>
      </c>
      <c r="BA50" s="217">
        <f ca="1">IF($D50&lt;&gt;"Serviço",0,IF(OR(AND(AUTOEVENTO="Manual",$M50=1),$M50&gt;(ROW(PLE.lastrow)-ROW(PLE.firstrow))),0,IF(OFFSET(PLE!$G$14,$M50,BA$13)="",10^12,OFFSET(PLE!$G$14,$M50,BA$13))))</f>
        <v>0</v>
      </c>
      <c r="BB50" s="217">
        <f ca="1">IF($D50&lt;&gt;"Serviço",0,IF(OR(AND(AUTOEVENTO="Manual",$M50=1),$M50&gt;(ROW(PLE.lastrow)-ROW(PLE.firstrow))),0,IF(OFFSET(PLE!$G$14,$M50,BB$13)="",10^12,OFFSET(PLE!$G$14,$M50,BB$13))))</f>
        <v>0</v>
      </c>
      <c r="BC50" s="217">
        <f ca="1">IF($D50&lt;&gt;"Serviço",0,IF(OR(AND(AUTOEVENTO="Manual",$M50=1),$M50&gt;(ROW(PLE.lastrow)-ROW(PLE.firstrow))),0,IF(OFFSET(PLE!$G$14,$M50,BC$13)="",10^12,OFFSET(PLE!$G$14,$M50,BC$13))))</f>
        <v>0</v>
      </c>
      <c r="BD50" s="217">
        <f ca="1">IF($D50&lt;&gt;"Serviço",0,IF(OR(AND(AUTOEVENTO="Manual",$M50=1),$M50&gt;(ROW(PLE.lastrow)-ROW(PLE.firstrow))),0,IF(OFFSET(PLE!$G$14,$M50,BD$13)="",10^12,OFFSET(PLE!$G$14,$M50,BD$13))))</f>
        <v>0</v>
      </c>
      <c r="BE50" s="217">
        <f ca="1">IF($D50&lt;&gt;"Serviço",0,IF(OR(AND(AUTOEVENTO="Manual",$M50=1),$M50&gt;(ROW(PLE.lastrow)-ROW(PLE.firstrow))),0,IF(OFFSET(PLE!$G$14,$M50,BE$13)="",10^12,OFFSET(PLE!$G$14,$M50,BE$13))))</f>
        <v>0</v>
      </c>
      <c r="BF50" s="217">
        <f ca="1">IF($D50&lt;&gt;"Serviço",0,IF(OR(AND(AUTOEVENTO="Manual",$M50=1),$M50&gt;(ROW(PLE.lastrow)-ROW(PLE.firstrow))),0,IF(OFFSET(PLE!$G$14,$M50,BF$13)="",10^12,OFFSET(PLE!$G$14,$M50,BF$13))))</f>
        <v>0</v>
      </c>
      <c r="BG50" s="217">
        <f ca="1">IF($D50&lt;&gt;"Serviço",0,IF(OR(AND(AUTOEVENTO="Manual",$M50=1),$M50&gt;(ROW(PLE.lastrow)-ROW(PLE.firstrow))),0,IF(OFFSET(PLE!$G$14,$M50,BG$13)="",10^12,OFFSET(PLE!$G$14,$M50,BG$13))))</f>
        <v>0</v>
      </c>
    </row>
    <row r="51" spans="1:59" ht="76.5" x14ac:dyDescent="0.2">
      <c r="A51" s="9" t="str">
        <f t="shared" ca="1" si="8"/>
        <v>35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6" t="str">
        <f ca="1">OFFSET(ORÇAMENTO!N$15,ROW(D51)-ROW(D$15),0)</f>
        <v>Serviço</v>
      </c>
      <c r="E51" s="206" t="str">
        <f ca="1">OFFSET(ORÇAMENTO!O$15,ROW(E51)-ROW(E$15),0)</f>
        <v>1.4.1.</v>
      </c>
      <c r="F51" s="207" t="str">
        <f ca="1">OFFSET(ORÇAMENTO!R$15,ROW(F51)-ROW(F$15),0)</f>
        <v>ESTRUTURA METALICA EM TESOURAS OU TRELIÇAS, VÃO LICRE DE 15M, FORNECIMENTO E MONTAGEM, SENDO CONSIDERADOS FECHAMENTOS METALICOS DE ALUZINCO COM PINTURA, NAO SENDO CONSIDERADO, COLUNAS, OS SERVIÇOS GERAIS EM ALVENARIA E CONCRETO, AS TELHAS DE COBERTURA (CONFORME PROJETO).</v>
      </c>
      <c r="G51" s="208" t="str">
        <f ca="1">IF($D51&lt;&gt;"Serviço","",OFFSET(ORÇAMENTO!S$15,ROW(G51)-ROW(G$15),0))</f>
        <v>M2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110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5</v>
      </c>
      <c r="N51" s="212" t="str">
        <f ca="1">IF($D51&lt;&gt;"Serviço","",IF(AUTOEVENTO="Manual",IF($A51=0,"&lt;-- defina o número do agrupador",OFFSET(EVENTOS!$D$14,$A51,0)),OFFSET($F$15,$A51,0)))</f>
        <v>COBERTURA</v>
      </c>
      <c r="O51" s="213"/>
      <c r="Q51" s="213"/>
      <c r="R51" s="214"/>
      <c r="S51" s="214"/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0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1000000000000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51" x14ac:dyDescent="0.2">
      <c r="A52" s="9" t="str">
        <f t="shared" ca="1" si="8"/>
        <v>35</v>
      </c>
      <c r="B52" s="9" t="str">
        <f ca="1">OFFSET(ORÇAMENTO!C$15,ROW(B52)-ROW(B$15),0)</f>
        <v>S</v>
      </c>
      <c r="C52" s="9" t="str">
        <f ca="1">OFFSET(ORÇAMENTO!L$15,ROW(C52)-ROW(C$15),0)</f>
        <v>F</v>
      </c>
      <c r="D52" s="146" t="str">
        <f ca="1">OFFSET(ORÇAMENTO!N$15,ROW(D52)-ROW(D$15),0)</f>
        <v>Serviço</v>
      </c>
      <c r="E52" s="206" t="str">
        <f ca="1">OFFSET(ORÇAMENTO!O$15,ROW(E52)-ROW(E$15),0)</f>
        <v>1.4.2.</v>
      </c>
      <c r="F52" s="207" t="str">
        <f ca="1">OFFSET(ORÇAMENTO!R$15,ROW(F52)-ROW(F$15),0)</f>
        <v>TELHAMENTO COM TELHA ONDULADA DE FIBROCIMENTO E = 6 MM, COM RECOBRIMENTO LATERAL DE 1/4 DE ONDA PARA TELHADO COM INCLINAÇÃO MAIOR QUE 10°, COM ATÉ 2 ÁGUAS, INCLUSO IÇAMENTO. AF_07/2019</v>
      </c>
      <c r="G52" s="208" t="str">
        <f ca="1">IF($D52&lt;&gt;"Serviço","",OFFSET(ORÇAMENTO!S$15,ROW(G52)-ROW(G$15),0))</f>
        <v>M2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110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5</v>
      </c>
      <c r="N52" s="212" t="str">
        <f ca="1">IF($D52&lt;&gt;"Serviço","",IF(AUTOEVENTO="Manual",IF($A52=0,"&lt;-- defina o número do agrupador",OFFSET(EVENTOS!$D$14,$A52,0)),OFFSET($F$15,$A52,0)))</f>
        <v>COBERTURA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1000000000000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25.5" x14ac:dyDescent="0.2">
      <c r="A53" s="9" t="str">
        <f t="shared" ca="1" si="8"/>
        <v>35</v>
      </c>
      <c r="B53" s="9" t="str">
        <f ca="1">OFFSET(ORÇAMENTO!C$15,ROW(B53)-ROW(B$15),0)</f>
        <v>S</v>
      </c>
      <c r="C53" s="9" t="str">
        <f ca="1">OFFSET(ORÇAMENTO!L$15,ROW(C53)-ROW(C$15),0)</f>
        <v>F</v>
      </c>
      <c r="D53" s="146" t="str">
        <f ca="1">OFFSET(ORÇAMENTO!N$15,ROW(D53)-ROW(D$15),0)</f>
        <v>Serviço</v>
      </c>
      <c r="E53" s="206" t="str">
        <f ca="1">OFFSET(ORÇAMENTO!O$15,ROW(E53)-ROW(E$15),0)</f>
        <v>1.4.3.</v>
      </c>
      <c r="F53" s="207" t="str">
        <f ca="1">OFFSET(ORÇAMENTO!R$15,ROW(F53)-ROW(F$15),0)</f>
        <v>CALHA QUADRADA DE CHAPA DE ACO GALVANIZADA NUM 24, CORTE 50 CM</v>
      </c>
      <c r="G53" s="208" t="str">
        <f ca="1">IF($D53&lt;&gt;"Serviço","",OFFSET(ORÇAMENTO!S$15,ROW(G53)-ROW(G$15),0))</f>
        <v xml:space="preserve">M     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15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5</v>
      </c>
      <c r="N53" s="212" t="str">
        <f ca="1">IF($D53&lt;&gt;"Serviço","",IF(AUTOEVENTO="Manual",IF($A53=0,"&lt;-- defina o número do agrupador",OFFSET(EVENTOS!$D$14,$A53,0)),OFFSET($F$15,$A53,0)))</f>
        <v>COBERTURA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1000000000000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35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5</v>
      </c>
      <c r="N54" s="212" t="str">
        <f ca="1">IF($D54&lt;&gt;"Serviço","",IF(AUTOEVENTO="Manual",IF($A54=0,"&lt;-- defina o número do agrupador",OFFSET(EVENTOS!$D$14,$A54,0)),OFFSET($F$15,$A54,0)))</f>
        <v>COBERTURA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1000000000000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25.5" x14ac:dyDescent="0.2">
      <c r="A55" s="9" t="str">
        <f t="shared" ca="1" si="8"/>
        <v>35</v>
      </c>
      <c r="B55" s="9" t="str">
        <f ca="1">OFFSET(ORÇAMENTO!C$15,ROW(B55)-ROW(B$15),0)</f>
        <v>S</v>
      </c>
      <c r="C55" s="9" t="str">
        <f ca="1">OFFSET(ORÇAMENTO!L$15,ROW(C55)-ROW(C$15),0)</f>
        <v>F</v>
      </c>
      <c r="D55" s="146" t="str">
        <f ca="1">OFFSET(ORÇAMENTO!N$15,ROW(D55)-ROW(D$15),0)</f>
        <v>Serviço</v>
      </c>
      <c r="E55" s="206" t="str">
        <f ca="1">OFFSET(ORÇAMENTO!O$15,ROW(E55)-ROW(E$15),0)</f>
        <v>1.4.4.</v>
      </c>
      <c r="F55" s="207" t="str">
        <f ca="1">OFFSET(ORÇAMENTO!R$15,ROW(F55)-ROW(F$15),0)</f>
        <v>FORRO EM RÉGUAS DE PVC, LISO, PARA AMBIENTES RESIDENCIAIS, INCLUSIVE ESTRUTURA DE FIXAÇÃO. AF_05/2017_P</v>
      </c>
      <c r="G55" s="208" t="str">
        <f ca="1">IF($D55&lt;&gt;"Serviço","",OFFSET(ORÇAMENTO!S$15,ROW(G55)-ROW(G$15),0))</f>
        <v>M2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103.5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5</v>
      </c>
      <c r="N55" s="212" t="str">
        <f ca="1">IF($D55&lt;&gt;"Serviço","",IF(AUTOEVENTO="Manual",IF($A55=0,"&lt;-- defina o número do agrupador",OFFSET(EVENTOS!$D$14,$A55,0)),OFFSET($F$15,$A55,0)))</f>
        <v>COBERTURA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1000000000000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35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5</v>
      </c>
      <c r="N56" s="212" t="str">
        <f ca="1">IF($D56&lt;&gt;"Serviço","",IF(AUTOEVENTO="Manual",IF($A56=0,"&lt;-- defina o número do agrupador",OFFSET(EVENTOS!$D$14,$A56,0)),OFFSET($F$15,$A56,0)))</f>
        <v>COBERTURA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1000000000000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35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5</v>
      </c>
      <c r="N57" s="212" t="str">
        <f ca="1">IF($D57&lt;&gt;"Serviço","",IF(AUTOEVENTO="Manual",IF($A57=0,"&lt;-- defina o número do agrupador",OFFSET(EVENTOS!$D$14,$A57,0)),OFFSET($F$15,$A57,0)))</f>
        <v>COBERTURA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1000000000000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35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5</v>
      </c>
      <c r="N58" s="212" t="str">
        <f ca="1">IF($D58&lt;&gt;"Serviço","",IF(AUTOEVENTO="Manual",IF($A58=0,"&lt;-- defina o número do agrupador",OFFSET(EVENTOS!$D$14,$A58,0)),OFFSET($F$15,$A58,0)))</f>
        <v>COBERTURA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1000000000000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35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5</v>
      </c>
      <c r="N59" s="212" t="str">
        <f ca="1">IF($D59&lt;&gt;"Serviço","",IF(AUTOEVENTO="Manual",IF($A59=0,"&lt;-- defina o número do agrupador",OFFSET(EVENTOS!$D$14,$A59,0)),OFFSET($F$15,$A59,0)))</f>
        <v>COBERTURA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1000000000000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45.</v>
      </c>
      <c r="B60" s="9">
        <f ca="1">OFFSET(ORÇAMENTO!C$15,ROW(B60)-ROW(B$15),0)</f>
        <v>2</v>
      </c>
      <c r="C60" s="9" t="str">
        <f ca="1">OFFSET(ORÇAMENTO!L$15,ROW(C60)-ROW(C$15),0)</f>
        <v>F</v>
      </c>
      <c r="D60" s="146" t="str">
        <f ca="1">OFFSET(ORÇAMENTO!N$15,ROW(D60)-ROW(D$15),0)</f>
        <v>Nível 2</v>
      </c>
      <c r="E60" s="206" t="str">
        <f ca="1">OFFSET(ORÇAMENTO!O$15,ROW(E60)-ROW(E$15),0)</f>
        <v>1.5.</v>
      </c>
      <c r="F60" s="207" t="str">
        <f ca="1">OFFSET(ORÇAMENTO!R$15,ROW(F60)-ROW(F$15),0)</f>
        <v>REVESTIMENTOS DE PISOS</v>
      </c>
      <c r="G60" s="208" t="str">
        <f ca="1">IF($D60&lt;&gt;"Serviço","",OFFSET(ORÇAMENTO!S$15,ROW(G60)-ROW(G$15),0))</f>
        <v/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 t="str">
        <f ca="1">IF($D60&lt;&gt;"Serviço","",IF(AUTOEVENTO="manual",$A60,IF(ISERROR(MATCH($A60,$A$15:OFFSET($A60,-1,0),0)),MAX($M$15:OFFSET(M60,-1,0))+1,INDEX($M$15:OFFSET(M60,-1,0),MATCH($A60,$A$15:OFFSET($A60,-1,0),0)))))</f>
        <v/>
      </c>
      <c r="N60" s="212" t="str">
        <f ca="1">IF($D60&lt;&gt;"Serviço","",IF(AUTOEVENTO="Manual",IF($A60=0,"&lt;-- defina o número do agrupador",OFFSET(EVENTOS!$D$14,$A60,0)),OFFSET($F$15,$A60,0)))</f>
        <v/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0</v>
      </c>
      <c r="AN60" s="216">
        <f ca="1">IF($D60&lt;&gt;"Serviço",0,IF(AND(AUTOEVENTO="Manual",$M60=1),0,IF(OFFSET(CRONOPLE!$F$14,$M60,AN$13)="",10^12,OFFSET(CRONOPLE!$F$14,$M60,AN$13))))</f>
        <v>0</v>
      </c>
      <c r="AO60" s="216">
        <f ca="1">IF($D60&lt;&gt;"Serviço",0,IF(AND(AUTOEVENTO="Manual",$M60=1),0,IF(OFFSET(CRONOPLE!$F$14,$M60,AO$13)="",10^12,OFFSET(CRONOPLE!$F$14,$M60,AO$13))))</f>
        <v>0</v>
      </c>
      <c r="AP60" s="216">
        <f ca="1">IF($D60&lt;&gt;"Serviço",0,IF(AND(AUTOEVENTO="Manual",$M60=1),0,IF(OFFSET(CRONOPLE!$F$14,$M60,AP$13)="",10^12,OFFSET(CRONOPLE!$F$14,$M60,AP$13))))</f>
        <v>0</v>
      </c>
      <c r="AQ60" s="216">
        <f ca="1">IF($D60&lt;&gt;"Serviço",0,IF(AND(AUTOEVENTO="Manual",$M60=1),0,IF(OFFSET(CRONOPLE!$F$14,$M60,AQ$13)="",10^12,OFFSET(CRONOPLE!$F$14,$M60,AQ$13))))</f>
        <v>0</v>
      </c>
      <c r="AR60" s="216">
        <f ca="1">IF($D60&lt;&gt;"Serviço",0,IF(AND(AUTOEVENTO="Manual",$M60=1),0,IF(OFFSET(CRONOPLE!$F$14,$M60,AR$13)="",10^12,OFFSET(CRONOPLE!$F$14,$M60,AR$13))))</f>
        <v>0</v>
      </c>
      <c r="AS60" s="216">
        <f ca="1">IF($D60&lt;&gt;"Serviço",0,IF(AND(AUTOEVENTO="Manual",$M60=1),0,IF(OFFSET(CRONOPLE!$F$14,$M60,AS$13)="",10^12,OFFSET(CRONOPLE!$F$14,$M60,AS$13))))</f>
        <v>0</v>
      </c>
      <c r="AT60" s="216">
        <f ca="1">IF($D60&lt;&gt;"Serviço",0,IF(AND(AUTOEVENTO="Manual",$M60=1),0,IF(OFFSET(CRONOPLE!$F$14,$M60,AT$13)="",10^12,OFFSET(CRONOPLE!$F$14,$M60,AT$13))))</f>
        <v>0</v>
      </c>
      <c r="AU60" s="216">
        <f ca="1">IF($D60&lt;&gt;"Serviço",0,IF(AND(AUTOEVENTO="Manual",$M60=1),0,IF(OFFSET(CRONOPLE!$F$14,$M60,AU$13)="",10^12,OFFSET(CRONOPLE!$F$14,$M60,AU$13))))</f>
        <v>0</v>
      </c>
      <c r="AV60" s="216">
        <f ca="1">IF($D60&lt;&gt;"Serviço",0,IF(AND(AUTOEVENTO="Manual",$M60=1),0,IF(OFFSET(CRONOPLE!$F$14,$M60,AV$13)="",10^12,OFFSET(CRONOPLE!$F$14,$M60,AV$13))))</f>
        <v>0</v>
      </c>
      <c r="AX60" s="217">
        <f ca="1">IF($D60&lt;&gt;"Serviço",0,IF(OR(AND(AUTOEVENTO="Manual",$M60=1),$M60&gt;(ROW(PLE.lastrow)-ROW(PLE.firstrow))),0,IF(OFFSET(PLE!$G$14,$M60,AX$13)="",10^12,OFFSET(PLE!$G$14,$M60,AX$13))))</f>
        <v>0</v>
      </c>
      <c r="AY60" s="217">
        <f ca="1">IF($D60&lt;&gt;"Serviço",0,IF(OR(AND(AUTOEVENTO="Manual",$M60=1),$M60&gt;(ROW(PLE.lastrow)-ROW(PLE.firstrow))),0,IF(OFFSET(PLE!$G$14,$M60,AY$13)="",10^12,OFFSET(PLE!$G$14,$M60,AY$13))))</f>
        <v>0</v>
      </c>
      <c r="AZ60" s="217">
        <f ca="1">IF($D60&lt;&gt;"Serviço",0,IF(OR(AND(AUTOEVENTO="Manual",$M60=1),$M60&gt;(ROW(PLE.lastrow)-ROW(PLE.firstrow))),0,IF(OFFSET(PLE!$G$14,$M60,AZ$13)="",10^12,OFFSET(PLE!$G$14,$M60,AZ$13))))</f>
        <v>0</v>
      </c>
      <c r="BA60" s="217">
        <f ca="1">IF($D60&lt;&gt;"Serviço",0,IF(OR(AND(AUTOEVENTO="Manual",$M60=1),$M60&gt;(ROW(PLE.lastrow)-ROW(PLE.firstrow))),0,IF(OFFSET(PLE!$G$14,$M60,BA$13)="",10^12,OFFSET(PLE!$G$14,$M60,BA$13))))</f>
        <v>0</v>
      </c>
      <c r="BB60" s="217">
        <f ca="1">IF($D60&lt;&gt;"Serviço",0,IF(OR(AND(AUTOEVENTO="Manual",$M60=1),$M60&gt;(ROW(PLE.lastrow)-ROW(PLE.firstrow))),0,IF(OFFSET(PLE!$G$14,$M60,BB$13)="",10^12,OFFSET(PLE!$G$14,$M60,BB$13))))</f>
        <v>0</v>
      </c>
      <c r="BC60" s="217">
        <f ca="1">IF($D60&lt;&gt;"Serviço",0,IF(OR(AND(AUTOEVENTO="Manual",$M60=1),$M60&gt;(ROW(PLE.lastrow)-ROW(PLE.firstrow))),0,IF(OFFSET(PLE!$G$14,$M60,BC$13)="",10^12,OFFSET(PLE!$G$14,$M60,BC$13))))</f>
        <v>0</v>
      </c>
      <c r="BD60" s="217">
        <f ca="1">IF($D60&lt;&gt;"Serviço",0,IF(OR(AND(AUTOEVENTO="Manual",$M60=1),$M60&gt;(ROW(PLE.lastrow)-ROW(PLE.firstrow))),0,IF(OFFSET(PLE!$G$14,$M60,BD$13)="",10^12,OFFSET(PLE!$G$14,$M60,BD$13))))</f>
        <v>0</v>
      </c>
      <c r="BE60" s="217">
        <f ca="1">IF($D60&lt;&gt;"Serviço",0,IF(OR(AND(AUTOEVENTO="Manual",$M60=1),$M60&gt;(ROW(PLE.lastrow)-ROW(PLE.firstrow))),0,IF(OFFSET(PLE!$G$14,$M60,BE$13)="",10^12,OFFSET(PLE!$G$14,$M60,BE$13))))</f>
        <v>0</v>
      </c>
      <c r="BF60" s="217">
        <f ca="1">IF($D60&lt;&gt;"Serviço",0,IF(OR(AND(AUTOEVENTO="Manual",$M60=1),$M60&gt;(ROW(PLE.lastrow)-ROW(PLE.firstrow))),0,IF(OFFSET(PLE!$G$14,$M60,BF$13)="",10^12,OFFSET(PLE!$G$14,$M60,BF$13))))</f>
        <v>0</v>
      </c>
      <c r="BG60" s="217">
        <f ca="1">IF($D60&lt;&gt;"Serviço",0,IF(OR(AND(AUTOEVENTO="Manual",$M60=1),$M60&gt;(ROW(PLE.lastrow)-ROW(PLE.firstrow))),0,IF(OFFSET(PLE!$G$14,$M60,BG$13)="",10^12,OFFSET(PLE!$G$14,$M60,BG$13))))</f>
        <v>0</v>
      </c>
    </row>
    <row r="61" spans="1:59" ht="38.25" x14ac:dyDescent="0.2">
      <c r="A61" s="9" t="str">
        <f t="shared" ca="1" si="8"/>
        <v>45</v>
      </c>
      <c r="B61" s="9" t="str">
        <f ca="1">OFFSET(ORÇAMENTO!C$15,ROW(B61)-ROW(B$15),0)</f>
        <v>S</v>
      </c>
      <c r="C61" s="9" t="str">
        <f ca="1">OFFSET(ORÇAMENTO!L$15,ROW(C61)-ROW(C$15),0)</f>
        <v>F</v>
      </c>
      <c r="D61" s="146" t="str">
        <f ca="1">OFFSET(ORÇAMENTO!N$15,ROW(D61)-ROW(D$15),0)</f>
        <v>Serviço</v>
      </c>
      <c r="E61" s="206" t="str">
        <f ca="1">OFFSET(ORÇAMENTO!O$15,ROW(E61)-ROW(E$15),0)</f>
        <v>1.5.1.</v>
      </c>
      <c r="F61" s="207" t="str">
        <f ca="1">OFFSET(ORÇAMENTO!R$15,ROW(F61)-ROW(F$15),0)</f>
        <v>REVESTIMENTO CERÂMICO PARA PISO COM PLACAS TIPO ESMALTADA EXTRA DE DIMENSÕES 35X35 CM APLICADA EM AMBIENTES DE ÁREA ENTRE 5 M2 E 10 M2. AF_06/2014</v>
      </c>
      <c r="G61" s="208" t="str">
        <f ca="1">IF($D61&lt;&gt;"Serviço","",OFFSET(ORÇAMENTO!S$15,ROW(G61)-ROW(G$15),0))</f>
        <v>M2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85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REVESTIMENTOS DE PISOS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1000000000000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25.5" x14ac:dyDescent="0.2">
      <c r="A62" s="9" t="str">
        <f t="shared" ca="1" si="8"/>
        <v>45</v>
      </c>
      <c r="B62" s="9" t="str">
        <f ca="1">OFFSET(ORÇAMENTO!C$15,ROW(B62)-ROW(B$15),0)</f>
        <v>S</v>
      </c>
      <c r="C62" s="9" t="str">
        <f ca="1">OFFSET(ORÇAMENTO!L$15,ROW(C62)-ROW(C$15),0)</f>
        <v>F</v>
      </c>
      <c r="D62" s="146" t="str">
        <f ca="1">OFFSET(ORÇAMENTO!N$15,ROW(D62)-ROW(D$15),0)</f>
        <v>Serviço</v>
      </c>
      <c r="E62" s="206" t="str">
        <f ca="1">OFFSET(ORÇAMENTO!O$15,ROW(E62)-ROW(E$15),0)</f>
        <v>1.5.2.</v>
      </c>
      <c r="F62" s="207" t="str">
        <f ca="1">OFFSET(ORÇAMENTO!R$15,ROW(F62)-ROW(F$15),0)</f>
        <v>ARGAMASSA TRAÇO 1:3 (EM VOLUME DE CIMENTO E AREIA MÉDIA ÚMIDA) PARA CONTRAPISO, PREPARO MANUAL. AF_08/2019</v>
      </c>
      <c r="G62" s="208" t="str">
        <f ca="1">IF($D62&lt;&gt;"Serviço","",OFFSET(ORÇAMENTO!S$15,ROW(G62)-ROW(G$15),0))</f>
        <v>M3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6.08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REVESTIMENTOS DE PISOS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1000000000000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45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REVESTIMENTOS DE PISOS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1000000000000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45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REVESTIMENTOS DE PISOS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1000000000000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45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REVESTIMENTOS DE PISOS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1000000000000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45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REVESTIMENTOS DE PISOS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1000000000000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45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REVESTIMENTOS DE PISOS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1000000000000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45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REVESTIMENTOS DE PISOS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1000000000000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54.</v>
      </c>
      <c r="B69" s="9">
        <f ca="1">OFFSET(ORÇAMENTO!C$15,ROW(B69)-ROW(B$15),0)</f>
        <v>2</v>
      </c>
      <c r="C69" s="9" t="str">
        <f ca="1">OFFSET(ORÇAMENTO!L$15,ROW(C69)-ROW(C$15),0)</f>
        <v>F</v>
      </c>
      <c r="D69" s="146" t="str">
        <f ca="1">OFFSET(ORÇAMENTO!N$15,ROW(D69)-ROW(D$15),0)</f>
        <v>Nível 2</v>
      </c>
      <c r="E69" s="206" t="str">
        <f ca="1">OFFSET(ORÇAMENTO!O$15,ROW(E69)-ROW(E$15),0)</f>
        <v>1.6.</v>
      </c>
      <c r="F69" s="207" t="str">
        <f ca="1">OFFSET(ORÇAMENTO!R$15,ROW(F69)-ROW(F$15),0)</f>
        <v>REVESTIMENTOS DE PAREDES</v>
      </c>
      <c r="G69" s="208" t="str">
        <f ca="1">IF($D69&lt;&gt;"Serviço","",OFFSET(ORÇAMENTO!S$15,ROW(G69)-ROW(G$15),0))</f>
        <v/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 t="str">
        <f ca="1">IF($D69&lt;&gt;"Serviço","",IF(AUTOEVENTO="manual",$A69,IF(ISERROR(MATCH($A69,$A$15:OFFSET($A69,-1,0),0)),MAX($M$15:OFFSET(M69,-1,0))+1,INDEX($M$15:OFFSET(M69,-1,0),MATCH($A69,$A$15:OFFSET($A69,-1,0),0)))))</f>
        <v/>
      </c>
      <c r="N69" s="212" t="str">
        <f ca="1">IF($D69&lt;&gt;"Serviço","",IF(AUTOEVENTO="Manual",IF($A69=0,"&lt;-- defina o número do agrupador",OFFSET(EVENTOS!$D$14,$A69,0)),OFFSET($F$15,$A69,0)))</f>
        <v/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0</v>
      </c>
      <c r="AN69" s="216">
        <f ca="1">IF($D69&lt;&gt;"Serviço",0,IF(AND(AUTOEVENTO="Manual",$M69=1),0,IF(OFFSET(CRONOPLE!$F$14,$M69,AN$13)="",10^12,OFFSET(CRONOPLE!$F$14,$M69,AN$13))))</f>
        <v>0</v>
      </c>
      <c r="AO69" s="216">
        <f ca="1">IF($D69&lt;&gt;"Serviço",0,IF(AND(AUTOEVENTO="Manual",$M69=1),0,IF(OFFSET(CRONOPLE!$F$14,$M69,AO$13)="",10^12,OFFSET(CRONOPLE!$F$14,$M69,AO$13))))</f>
        <v>0</v>
      </c>
      <c r="AP69" s="216">
        <f ca="1">IF($D69&lt;&gt;"Serviço",0,IF(AND(AUTOEVENTO="Manual",$M69=1),0,IF(OFFSET(CRONOPLE!$F$14,$M69,AP$13)="",10^12,OFFSET(CRONOPLE!$F$14,$M69,AP$13))))</f>
        <v>0</v>
      </c>
      <c r="AQ69" s="216">
        <f ca="1">IF($D69&lt;&gt;"Serviço",0,IF(AND(AUTOEVENTO="Manual",$M69=1),0,IF(OFFSET(CRONOPLE!$F$14,$M69,AQ$13)="",10^12,OFFSET(CRONOPLE!$F$14,$M69,AQ$13))))</f>
        <v>0</v>
      </c>
      <c r="AR69" s="216">
        <f ca="1">IF($D69&lt;&gt;"Serviço",0,IF(AND(AUTOEVENTO="Manual",$M69=1),0,IF(OFFSET(CRONOPLE!$F$14,$M69,AR$13)="",10^12,OFFSET(CRONOPLE!$F$14,$M69,AR$13))))</f>
        <v>0</v>
      </c>
      <c r="AS69" s="216">
        <f ca="1">IF($D69&lt;&gt;"Serviço",0,IF(AND(AUTOEVENTO="Manual",$M69=1),0,IF(OFFSET(CRONOPLE!$F$14,$M69,AS$13)="",10^12,OFFSET(CRONOPLE!$F$14,$M69,AS$13))))</f>
        <v>0</v>
      </c>
      <c r="AT69" s="216">
        <f ca="1">IF($D69&lt;&gt;"Serviço",0,IF(AND(AUTOEVENTO="Manual",$M69=1),0,IF(OFFSET(CRONOPLE!$F$14,$M69,AT$13)="",10^12,OFFSET(CRONOPLE!$F$14,$M69,AT$13))))</f>
        <v>0</v>
      </c>
      <c r="AU69" s="216">
        <f ca="1">IF($D69&lt;&gt;"Serviço",0,IF(AND(AUTOEVENTO="Manual",$M69=1),0,IF(OFFSET(CRONOPLE!$F$14,$M69,AU$13)="",10^12,OFFSET(CRONOPLE!$F$14,$M69,AU$13))))</f>
        <v>0</v>
      </c>
      <c r="AV69" s="216">
        <f ca="1">IF($D69&lt;&gt;"Serviço",0,IF(AND(AUTOEVENTO="Manual",$M69=1),0,IF(OFFSET(CRONOPLE!$F$14,$M69,AV$13)="",10^12,OFFSET(CRONOPLE!$F$14,$M69,AV$13))))</f>
        <v>0</v>
      </c>
      <c r="AX69" s="217">
        <f ca="1">IF($D69&lt;&gt;"Serviço",0,IF(OR(AND(AUTOEVENTO="Manual",$M69=1),$M69&gt;(ROW(PLE.lastrow)-ROW(PLE.firstrow))),0,IF(OFFSET(PLE!$G$14,$M69,AX$13)="",10^12,OFFSET(PLE!$G$14,$M69,AX$13))))</f>
        <v>0</v>
      </c>
      <c r="AY69" s="217">
        <f ca="1">IF($D69&lt;&gt;"Serviço",0,IF(OR(AND(AUTOEVENTO="Manual",$M69=1),$M69&gt;(ROW(PLE.lastrow)-ROW(PLE.firstrow))),0,IF(OFFSET(PLE!$G$14,$M69,AY$13)="",10^12,OFFSET(PLE!$G$14,$M69,AY$13))))</f>
        <v>0</v>
      </c>
      <c r="AZ69" s="217">
        <f ca="1">IF($D69&lt;&gt;"Serviço",0,IF(OR(AND(AUTOEVENTO="Manual",$M69=1),$M69&gt;(ROW(PLE.lastrow)-ROW(PLE.firstrow))),0,IF(OFFSET(PLE!$G$14,$M69,AZ$13)="",10^12,OFFSET(PLE!$G$14,$M69,AZ$13))))</f>
        <v>0</v>
      </c>
      <c r="BA69" s="217">
        <f ca="1">IF($D69&lt;&gt;"Serviço",0,IF(OR(AND(AUTOEVENTO="Manual",$M69=1),$M69&gt;(ROW(PLE.lastrow)-ROW(PLE.firstrow))),0,IF(OFFSET(PLE!$G$14,$M69,BA$13)="",10^12,OFFSET(PLE!$G$14,$M69,BA$13))))</f>
        <v>0</v>
      </c>
      <c r="BB69" s="217">
        <f ca="1">IF($D69&lt;&gt;"Serviço",0,IF(OR(AND(AUTOEVENTO="Manual",$M69=1),$M69&gt;(ROW(PLE.lastrow)-ROW(PLE.firstrow))),0,IF(OFFSET(PLE!$G$14,$M69,BB$13)="",10^12,OFFSET(PLE!$G$14,$M69,BB$13))))</f>
        <v>0</v>
      </c>
      <c r="BC69" s="217">
        <f ca="1">IF($D69&lt;&gt;"Serviço",0,IF(OR(AND(AUTOEVENTO="Manual",$M69=1),$M69&gt;(ROW(PLE.lastrow)-ROW(PLE.firstrow))),0,IF(OFFSET(PLE!$G$14,$M69,BC$13)="",10^12,OFFSET(PLE!$G$14,$M69,BC$13))))</f>
        <v>0</v>
      </c>
      <c r="BD69" s="217">
        <f ca="1">IF($D69&lt;&gt;"Serviço",0,IF(OR(AND(AUTOEVENTO="Manual",$M69=1),$M69&gt;(ROW(PLE.lastrow)-ROW(PLE.firstrow))),0,IF(OFFSET(PLE!$G$14,$M69,BD$13)="",10^12,OFFSET(PLE!$G$14,$M69,BD$13))))</f>
        <v>0</v>
      </c>
      <c r="BE69" s="217">
        <f ca="1">IF($D69&lt;&gt;"Serviço",0,IF(OR(AND(AUTOEVENTO="Manual",$M69=1),$M69&gt;(ROW(PLE.lastrow)-ROW(PLE.firstrow))),0,IF(OFFSET(PLE!$G$14,$M69,BE$13)="",10^12,OFFSET(PLE!$G$14,$M69,BE$13))))</f>
        <v>0</v>
      </c>
      <c r="BF69" s="217">
        <f ca="1">IF($D69&lt;&gt;"Serviço",0,IF(OR(AND(AUTOEVENTO="Manual",$M69=1),$M69&gt;(ROW(PLE.lastrow)-ROW(PLE.firstrow))),0,IF(OFFSET(PLE!$G$14,$M69,BF$13)="",10^12,OFFSET(PLE!$G$14,$M69,BF$13))))</f>
        <v>0</v>
      </c>
      <c r="BG69" s="217">
        <f ca="1">IF($D69&lt;&gt;"Serviço",0,IF(OR(AND(AUTOEVENTO="Manual",$M69=1),$M69&gt;(ROW(PLE.lastrow)-ROW(PLE.firstrow))),0,IF(OFFSET(PLE!$G$14,$M69,BG$13)="",10^12,OFFSET(PLE!$G$14,$M69,BG$13))))</f>
        <v>0</v>
      </c>
    </row>
    <row r="70" spans="1:59" ht="51" x14ac:dyDescent="0.2">
      <c r="A70" s="9" t="str">
        <f t="shared" ca="1" si="8"/>
        <v>54</v>
      </c>
      <c r="B70" s="9" t="str">
        <f ca="1">OFFSET(ORÇAMENTO!C$15,ROW(B70)-ROW(B$15),0)</f>
        <v>S</v>
      </c>
      <c r="C70" s="9" t="str">
        <f ca="1">OFFSET(ORÇAMENTO!L$15,ROW(C70)-ROW(C$15),0)</f>
        <v>F</v>
      </c>
      <c r="D70" s="146" t="str">
        <f ca="1">OFFSET(ORÇAMENTO!N$15,ROW(D70)-ROW(D$15),0)</f>
        <v>Serviço</v>
      </c>
      <c r="E70" s="206" t="str">
        <f ca="1">OFFSET(ORÇAMENTO!O$15,ROW(E70)-ROW(E$15),0)</f>
        <v>1.6.1.</v>
      </c>
      <c r="F70" s="207" t="str">
        <f ca="1">OFFSET(ORÇAMENTO!R$15,ROW(F70)-ROW(F$15),0)</f>
        <v>REVESTIMENTO CERÂMICO PARA PAREDES INTERNAS COM PLACAS TIPO ESMALTADA EXTRA DE DIMENSÕES 20X20 CM APLICADAS EM AMBIENTES DE ÁREA MAIOR QUE 5 M² NA ALTURA INTEIRA DAS PAREDES. AF_06/2014</v>
      </c>
      <c r="G70" s="208" t="str">
        <f ca="1">IF($D70&lt;&gt;"Serviço","",OFFSET(ORÇAMENTO!S$15,ROW(G70)-ROW(G$15),0))</f>
        <v>M2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62.3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7</v>
      </c>
      <c r="N70" s="212" t="str">
        <f ca="1">IF($D70&lt;&gt;"Serviço","",IF(AUTOEVENTO="Manual",IF($A70=0,"&lt;-- defina o número do agrupador",OFFSET(EVENTOS!$D$14,$A70,0)),OFFSET($F$15,$A70,0)))</f>
        <v>REVESTIMENTOS DE PAREDES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1000000000000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25.5" x14ac:dyDescent="0.2">
      <c r="A71" s="9" t="str">
        <f t="shared" ca="1" si="8"/>
        <v>54</v>
      </c>
      <c r="B71" s="9" t="str">
        <f ca="1">OFFSET(ORÇAMENTO!C$15,ROW(B71)-ROW(B$15),0)</f>
        <v>S</v>
      </c>
      <c r="C71" s="9" t="str">
        <f ca="1">OFFSET(ORÇAMENTO!L$15,ROW(C71)-ROW(C$15),0)</f>
        <v>F</v>
      </c>
      <c r="D71" s="146" t="str">
        <f ca="1">OFFSET(ORÇAMENTO!N$15,ROW(D71)-ROW(D$15),0)</f>
        <v>Serviço</v>
      </c>
      <c r="E71" s="206" t="str">
        <f ca="1">OFFSET(ORÇAMENTO!O$15,ROW(E71)-ROW(E$15),0)</f>
        <v>1.6.2.</v>
      </c>
      <c r="F71" s="207" t="str">
        <f ca="1">OFFSET(ORÇAMENTO!R$15,ROW(F71)-ROW(F$15),0)</f>
        <v>APLICAÇÃO MANUAL DE MASSA ACRÍLICA EM PAREDES EXTERNAS DE CASAS, UMA DEMÃO. AF_05/2017</v>
      </c>
      <c r="G71" s="208" t="str">
        <f ca="1">IF($D71&lt;&gt;"Serviço","",OFFSET(ORÇAMENTO!S$15,ROW(G71)-ROW(G$15),0))</f>
        <v>M2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469.7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7</v>
      </c>
      <c r="N71" s="212" t="str">
        <f ca="1">IF($D71&lt;&gt;"Serviço","",IF(AUTOEVENTO="Manual",IF($A71=0,"&lt;-- defina o número do agrupador",OFFSET(EVENTOS!$D$14,$A71,0)),OFFSET($F$15,$A71,0)))</f>
        <v>REVESTIMENTOS DE PAREDES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1000000000000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25.5" x14ac:dyDescent="0.2">
      <c r="A72" s="9" t="str">
        <f t="shared" ca="1" si="8"/>
        <v>54</v>
      </c>
      <c r="B72" s="9" t="str">
        <f ca="1">OFFSET(ORÇAMENTO!C$15,ROW(B72)-ROW(B$15),0)</f>
        <v>S</v>
      </c>
      <c r="C72" s="9" t="str">
        <f ca="1">OFFSET(ORÇAMENTO!L$15,ROW(C72)-ROW(C$15),0)</f>
        <v>F</v>
      </c>
      <c r="D72" s="146" t="str">
        <f ca="1">OFFSET(ORÇAMENTO!N$15,ROW(D72)-ROW(D$15),0)</f>
        <v>Serviço</v>
      </c>
      <c r="E72" s="206" t="str">
        <f ca="1">OFFSET(ORÇAMENTO!O$15,ROW(E72)-ROW(E$15),0)</f>
        <v>1.6.3.</v>
      </c>
      <c r="F72" s="207" t="str">
        <f ca="1">OFFSET(ORÇAMENTO!R$15,ROW(F72)-ROW(F$15),0)</f>
        <v>APLICAÇÃO MANUAL DE PINTURA COM TINTA LÁTEX PVA EM PAREDES, DUAS DEMÃOS. AF_06/2014</v>
      </c>
      <c r="G72" s="208" t="str">
        <f ca="1">IF($D72&lt;&gt;"Serviço","",OFFSET(ORÇAMENTO!S$15,ROW(G72)-ROW(G$15),0))</f>
        <v>M2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261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7</v>
      </c>
      <c r="N72" s="212" t="str">
        <f ca="1">IF($D72&lt;&gt;"Serviço","",IF(AUTOEVENTO="Manual",IF($A72=0,"&lt;-- defina o número do agrupador",OFFSET(EVENTOS!$D$14,$A72,0)),OFFSET($F$15,$A72,0)))</f>
        <v>REVESTIMENTOS DE PAREDES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1000000000000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25.5" x14ac:dyDescent="0.2">
      <c r="A73" s="9" t="str">
        <f t="shared" ca="1" si="8"/>
        <v>54</v>
      </c>
      <c r="B73" s="9" t="str">
        <f ca="1">OFFSET(ORÇAMENTO!C$15,ROW(B73)-ROW(B$15),0)</f>
        <v>S</v>
      </c>
      <c r="C73" s="9" t="str">
        <f ca="1">OFFSET(ORÇAMENTO!L$15,ROW(C73)-ROW(C$15),0)</f>
        <v>F</v>
      </c>
      <c r="D73" s="146" t="str">
        <f ca="1">OFFSET(ORÇAMENTO!N$15,ROW(D73)-ROW(D$15),0)</f>
        <v>Serviço</v>
      </c>
      <c r="E73" s="206" t="str">
        <f ca="1">OFFSET(ORÇAMENTO!O$15,ROW(E73)-ROW(E$15),0)</f>
        <v>1.6.4.</v>
      </c>
      <c r="F73" s="207" t="str">
        <f ca="1">OFFSET(ORÇAMENTO!R$15,ROW(F73)-ROW(F$15),0)</f>
        <v>APLICAÇÃO MANUAL DE PINTURA COM TINTA LÁTEX ACRÍLICA EM PAREDES, DUAS DEMÃOS. AF_06/2014</v>
      </c>
      <c r="G73" s="208" t="str">
        <f ca="1">IF($D73&lt;&gt;"Serviço","",OFFSET(ORÇAMENTO!S$15,ROW(G73)-ROW(G$15),0))</f>
        <v>M2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215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7</v>
      </c>
      <c r="N73" s="212" t="str">
        <f ca="1">IF($D73&lt;&gt;"Serviço","",IF(AUTOEVENTO="Manual",IF($A73=0,"&lt;-- defina o número do agrupador",OFFSET(EVENTOS!$D$14,$A73,0)),OFFSET($F$15,$A73,0)))</f>
        <v>REVESTIMENTOS DE PAREDES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1000000000000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59.</v>
      </c>
      <c r="B74" s="9">
        <f ca="1">OFFSET(ORÇAMENTO!C$15,ROW(B74)-ROW(B$15),0)</f>
        <v>2</v>
      </c>
      <c r="C74" s="9" t="str">
        <f ca="1">OFFSET(ORÇAMENTO!L$15,ROW(C74)-ROW(C$15),0)</f>
        <v>F</v>
      </c>
      <c r="D74" s="146" t="str">
        <f ca="1">OFFSET(ORÇAMENTO!N$15,ROW(D74)-ROW(D$15),0)</f>
        <v>Nível 2</v>
      </c>
      <c r="E74" s="206" t="str">
        <f ca="1">OFFSET(ORÇAMENTO!O$15,ROW(E74)-ROW(E$15),0)</f>
        <v>1.7.</v>
      </c>
      <c r="F74" s="207" t="str">
        <f ca="1">OFFSET(ORÇAMENTO!R$15,ROW(F74)-ROW(F$15),0)</f>
        <v>ELETRICA</v>
      </c>
      <c r="G74" s="208" t="str">
        <f ca="1">IF($D74&lt;&gt;"Serviço","",OFFSET(ORÇAMENTO!S$15,ROW(G74)-ROW(G$15),0))</f>
        <v/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 t="str">
        <f ca="1">IF($D74&lt;&gt;"Serviço","",IF(AUTOEVENTO="manual",$A74,IF(ISERROR(MATCH($A74,$A$15:OFFSET($A74,-1,0),0)),MAX($M$15:OFFSET(M74,-1,0))+1,INDEX($M$15:OFFSET(M74,-1,0),MATCH($A74,$A$15:OFFSET($A74,-1,0),0)))))</f>
        <v/>
      </c>
      <c r="N74" s="212" t="str">
        <f ca="1">IF($D74&lt;&gt;"Serviço","",IF(AUTOEVENTO="Manual",IF($A74=0,"&lt;-- defina o número do agrupador",OFFSET(EVENTOS!$D$14,$A74,0)),OFFSET($F$15,$A74,0)))</f>
        <v/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0</v>
      </c>
      <c r="AN74" s="216">
        <f ca="1">IF($D74&lt;&gt;"Serviço",0,IF(AND(AUTOEVENTO="Manual",$M74=1),0,IF(OFFSET(CRONOPLE!$F$14,$M74,AN$13)="",10^12,OFFSET(CRONOPLE!$F$14,$M74,AN$13))))</f>
        <v>0</v>
      </c>
      <c r="AO74" s="216">
        <f ca="1">IF($D74&lt;&gt;"Serviço",0,IF(AND(AUTOEVENTO="Manual",$M74=1),0,IF(OFFSET(CRONOPLE!$F$14,$M74,AO$13)="",10^12,OFFSET(CRONOPLE!$F$14,$M74,AO$13))))</f>
        <v>0</v>
      </c>
      <c r="AP74" s="216">
        <f ca="1">IF($D74&lt;&gt;"Serviço",0,IF(AND(AUTOEVENTO="Manual",$M74=1),0,IF(OFFSET(CRONOPLE!$F$14,$M74,AP$13)="",10^12,OFFSET(CRONOPLE!$F$14,$M74,AP$13))))</f>
        <v>0</v>
      </c>
      <c r="AQ74" s="216">
        <f ca="1">IF($D74&lt;&gt;"Serviço",0,IF(AND(AUTOEVENTO="Manual",$M74=1),0,IF(OFFSET(CRONOPLE!$F$14,$M74,AQ$13)="",10^12,OFFSET(CRONOPLE!$F$14,$M74,AQ$13))))</f>
        <v>0</v>
      </c>
      <c r="AR74" s="216">
        <f ca="1">IF($D74&lt;&gt;"Serviço",0,IF(AND(AUTOEVENTO="Manual",$M74=1),0,IF(OFFSET(CRONOPLE!$F$14,$M74,AR$13)="",10^12,OFFSET(CRONOPLE!$F$14,$M74,AR$13))))</f>
        <v>0</v>
      </c>
      <c r="AS74" s="216">
        <f ca="1">IF($D74&lt;&gt;"Serviço",0,IF(AND(AUTOEVENTO="Manual",$M74=1),0,IF(OFFSET(CRONOPLE!$F$14,$M74,AS$13)="",10^12,OFFSET(CRONOPLE!$F$14,$M74,AS$13))))</f>
        <v>0</v>
      </c>
      <c r="AT74" s="216">
        <f ca="1">IF($D74&lt;&gt;"Serviço",0,IF(AND(AUTOEVENTO="Manual",$M74=1),0,IF(OFFSET(CRONOPLE!$F$14,$M74,AT$13)="",10^12,OFFSET(CRONOPLE!$F$14,$M74,AT$13))))</f>
        <v>0</v>
      </c>
      <c r="AU74" s="216">
        <f ca="1">IF($D74&lt;&gt;"Serviço",0,IF(AND(AUTOEVENTO="Manual",$M74=1),0,IF(OFFSET(CRONOPLE!$F$14,$M74,AU$13)="",10^12,OFFSET(CRONOPLE!$F$14,$M74,AU$13))))</f>
        <v>0</v>
      </c>
      <c r="AV74" s="216">
        <f ca="1">IF($D74&lt;&gt;"Serviço",0,IF(AND(AUTOEVENTO="Manual",$M74=1),0,IF(OFFSET(CRONOPLE!$F$14,$M74,AV$13)="",10^12,OFFSET(CRONOPLE!$F$14,$M74,AV$13))))</f>
        <v>0</v>
      </c>
      <c r="AX74" s="217">
        <f ca="1">IF($D74&lt;&gt;"Serviço",0,IF(OR(AND(AUTOEVENTO="Manual",$M74=1),$M74&gt;(ROW(PLE.lastrow)-ROW(PLE.firstrow))),0,IF(OFFSET(PLE!$G$14,$M74,AX$13)="",10^12,OFFSET(PLE!$G$14,$M74,AX$13))))</f>
        <v>0</v>
      </c>
      <c r="AY74" s="217">
        <f ca="1">IF($D74&lt;&gt;"Serviço",0,IF(OR(AND(AUTOEVENTO="Manual",$M74=1),$M74&gt;(ROW(PLE.lastrow)-ROW(PLE.firstrow))),0,IF(OFFSET(PLE!$G$14,$M74,AY$13)="",10^12,OFFSET(PLE!$G$14,$M74,AY$13))))</f>
        <v>0</v>
      </c>
      <c r="AZ74" s="217">
        <f ca="1">IF($D74&lt;&gt;"Serviço",0,IF(OR(AND(AUTOEVENTO="Manual",$M74=1),$M74&gt;(ROW(PLE.lastrow)-ROW(PLE.firstrow))),0,IF(OFFSET(PLE!$G$14,$M74,AZ$13)="",10^12,OFFSET(PLE!$G$14,$M74,AZ$13))))</f>
        <v>0</v>
      </c>
      <c r="BA74" s="217">
        <f ca="1">IF($D74&lt;&gt;"Serviço",0,IF(OR(AND(AUTOEVENTO="Manual",$M74=1),$M74&gt;(ROW(PLE.lastrow)-ROW(PLE.firstrow))),0,IF(OFFSET(PLE!$G$14,$M74,BA$13)="",10^12,OFFSET(PLE!$G$14,$M74,BA$13))))</f>
        <v>0</v>
      </c>
      <c r="BB74" s="217">
        <f ca="1">IF($D74&lt;&gt;"Serviço",0,IF(OR(AND(AUTOEVENTO="Manual",$M74=1),$M74&gt;(ROW(PLE.lastrow)-ROW(PLE.firstrow))),0,IF(OFFSET(PLE!$G$14,$M74,BB$13)="",10^12,OFFSET(PLE!$G$14,$M74,BB$13))))</f>
        <v>0</v>
      </c>
      <c r="BC74" s="217">
        <f ca="1">IF($D74&lt;&gt;"Serviço",0,IF(OR(AND(AUTOEVENTO="Manual",$M74=1),$M74&gt;(ROW(PLE.lastrow)-ROW(PLE.firstrow))),0,IF(OFFSET(PLE!$G$14,$M74,BC$13)="",10^12,OFFSET(PLE!$G$14,$M74,BC$13))))</f>
        <v>0</v>
      </c>
      <c r="BD74" s="217">
        <f ca="1">IF($D74&lt;&gt;"Serviço",0,IF(OR(AND(AUTOEVENTO="Manual",$M74=1),$M74&gt;(ROW(PLE.lastrow)-ROW(PLE.firstrow))),0,IF(OFFSET(PLE!$G$14,$M74,BD$13)="",10^12,OFFSET(PLE!$G$14,$M74,BD$13))))</f>
        <v>0</v>
      </c>
      <c r="BE74" s="217">
        <f ca="1">IF($D74&lt;&gt;"Serviço",0,IF(OR(AND(AUTOEVENTO="Manual",$M74=1),$M74&gt;(ROW(PLE.lastrow)-ROW(PLE.firstrow))),0,IF(OFFSET(PLE!$G$14,$M74,BE$13)="",10^12,OFFSET(PLE!$G$14,$M74,BE$13))))</f>
        <v>0</v>
      </c>
      <c r="BF74" s="217">
        <f ca="1">IF($D74&lt;&gt;"Serviço",0,IF(OR(AND(AUTOEVENTO="Manual",$M74=1),$M74&gt;(ROW(PLE.lastrow)-ROW(PLE.firstrow))),0,IF(OFFSET(PLE!$G$14,$M74,BF$13)="",10^12,OFFSET(PLE!$G$14,$M74,BF$13))))</f>
        <v>0</v>
      </c>
      <c r="BG74" s="217">
        <f ca="1">IF($D74&lt;&gt;"Serviço",0,IF(OR(AND(AUTOEVENTO="Manual",$M74=1),$M74&gt;(ROW(PLE.lastrow)-ROW(PLE.firstrow))),0,IF(OFFSET(PLE!$G$14,$M74,BG$13)="",10^12,OFFSET(PLE!$G$14,$M74,BG$13))))</f>
        <v>0</v>
      </c>
    </row>
    <row r="75" spans="1:59" ht="25.5" x14ac:dyDescent="0.2">
      <c r="A75" s="9" t="str">
        <f t="shared" ca="1" si="8"/>
        <v>59</v>
      </c>
      <c r="B75" s="9" t="str">
        <f ca="1">OFFSET(ORÇAMENTO!C$15,ROW(B75)-ROW(B$15),0)</f>
        <v>S</v>
      </c>
      <c r="C75" s="9" t="str">
        <f ca="1">OFFSET(ORÇAMENTO!L$15,ROW(C75)-ROW(C$15),0)</f>
        <v>F</v>
      </c>
      <c r="D75" s="146" t="str">
        <f ca="1">OFFSET(ORÇAMENTO!N$15,ROW(D75)-ROW(D$15),0)</f>
        <v>Serviço</v>
      </c>
      <c r="E75" s="206" t="str">
        <f ca="1">OFFSET(ORÇAMENTO!O$15,ROW(E75)-ROW(E$15),0)</f>
        <v>1.7.1.</v>
      </c>
      <c r="F75" s="207" t="str">
        <f ca="1">OFFSET(ORÇAMENTO!R$15,ROW(F75)-ROW(F$15),0)</f>
        <v>CABO DE COBRE FLEXÍVEL ISOLADO, 10 MM², ANTI-CHAMA 450/750 V, PARA DISTRIBUIÇÃO - FORNECIMENTO E INSTALAÇÃO. AF_12/2015</v>
      </c>
      <c r="G75" s="208" t="str">
        <f ca="1">IF($D75&lt;&gt;"Serviço","",OFFSET(ORÇAMENTO!S$15,ROW(G75)-ROW(G$15),0))</f>
        <v>M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60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8</v>
      </c>
      <c r="N75" s="212" t="str">
        <f ca="1">IF($D75&lt;&gt;"Serviço","",IF(AUTOEVENTO="Manual",IF($A75=0,"&lt;-- defina o número do agrupador",OFFSET(EVENTOS!$D$14,$A75,0)),OFFSET($F$15,$A75,0)))</f>
        <v>ELETRICA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1000000000000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38.25" x14ac:dyDescent="0.2">
      <c r="A76" s="9" t="str">
        <f t="shared" ca="1" si="8"/>
        <v>59</v>
      </c>
      <c r="B76" s="9" t="str">
        <f ca="1">OFFSET(ORÇAMENTO!C$15,ROW(B76)-ROW(B$15),0)</f>
        <v>S</v>
      </c>
      <c r="C76" s="9" t="str">
        <f ca="1">OFFSET(ORÇAMENTO!L$15,ROW(C76)-ROW(C$15),0)</f>
        <v>F</v>
      </c>
      <c r="D76" s="146" t="str">
        <f ca="1">OFFSET(ORÇAMENTO!N$15,ROW(D76)-ROW(D$15),0)</f>
        <v>Serviço</v>
      </c>
      <c r="E76" s="206" t="str">
        <f ca="1">OFFSET(ORÇAMENTO!O$15,ROW(E76)-ROW(E$15),0)</f>
        <v>1.7.2.</v>
      </c>
      <c r="F76" s="207" t="str">
        <f ca="1">OFFSET(ORÇAMENTO!R$15,ROW(F76)-ROW(F$15),0)</f>
        <v>QUADRO DE DISTRIBUICAO COM BARRAMENTO TRIFASICO, DE EMBUTIR, EM CHAPA DE ACO GALVANIZADO, PARA 12 DISJUNTORES DIN, 100 A</v>
      </c>
      <c r="G76" s="208" t="str">
        <f ca="1">IF($D76&lt;&gt;"Serviço","",OFFSET(ORÇAMENTO!S$15,ROW(G76)-ROW(G$15),0))</f>
        <v xml:space="preserve">UN    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1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8</v>
      </c>
      <c r="N76" s="212" t="str">
        <f ca="1">IF($D76&lt;&gt;"Serviço","",IF(AUTOEVENTO="Manual",IF($A76=0,"&lt;-- defina o número do agrupador",OFFSET(EVENTOS!$D$14,$A76,0)),OFFSET($F$15,$A76,0)))</f>
        <v>ELETRICA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1000000000000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25.5" x14ac:dyDescent="0.2">
      <c r="A77" s="9" t="str">
        <f t="shared" ca="1" si="8"/>
        <v>59</v>
      </c>
      <c r="B77" s="9" t="str">
        <f ca="1">OFFSET(ORÇAMENTO!C$15,ROW(B77)-ROW(B$15),0)</f>
        <v>S</v>
      </c>
      <c r="C77" s="9" t="str">
        <f ca="1">OFFSET(ORÇAMENTO!L$15,ROW(C77)-ROW(C$15),0)</f>
        <v>F</v>
      </c>
      <c r="D77" s="146" t="str">
        <f ca="1">OFFSET(ORÇAMENTO!N$15,ROW(D77)-ROW(D$15),0)</f>
        <v>Serviço</v>
      </c>
      <c r="E77" s="206" t="str">
        <f ca="1">OFFSET(ORÇAMENTO!O$15,ROW(E77)-ROW(E$15),0)</f>
        <v>1.7.3.</v>
      </c>
      <c r="F77" s="207" t="str">
        <f ca="1">OFFSET(ORÇAMENTO!R$15,ROW(F77)-ROW(F$15),0)</f>
        <v>ELETRODUTO FLEXIVEL PLANO EM PEAD, COR PRETA E LARANJA, DIAMETRO 25 MM</v>
      </c>
      <c r="G77" s="208" t="str">
        <f ca="1">IF($D77&lt;&gt;"Serviço","",OFFSET(ORÇAMENTO!S$15,ROW(G77)-ROW(G$15),0))</f>
        <v xml:space="preserve">M     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200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8</v>
      </c>
      <c r="N77" s="212" t="str">
        <f ca="1">IF($D77&lt;&gt;"Serviço","",IF(AUTOEVENTO="Manual",IF($A77=0,"&lt;-- defina o número do agrupador",OFFSET(EVENTOS!$D$14,$A77,0)),OFFSET($F$15,$A77,0)))</f>
        <v>ELETRICA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1000000000000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25.5" x14ac:dyDescent="0.2">
      <c r="A78" s="9" t="str">
        <f t="shared" ca="1" si="8"/>
        <v>59</v>
      </c>
      <c r="B78" s="9" t="str">
        <f ca="1">OFFSET(ORÇAMENTO!C$15,ROW(B78)-ROW(B$15),0)</f>
        <v>S</v>
      </c>
      <c r="C78" s="9" t="str">
        <f ca="1">OFFSET(ORÇAMENTO!L$15,ROW(C78)-ROW(C$15),0)</f>
        <v>F</v>
      </c>
      <c r="D78" s="146" t="str">
        <f ca="1">OFFSET(ORÇAMENTO!N$15,ROW(D78)-ROW(D$15),0)</f>
        <v>Serviço</v>
      </c>
      <c r="E78" s="206" t="str">
        <f ca="1">OFFSET(ORÇAMENTO!O$15,ROW(E78)-ROW(E$15),0)</f>
        <v>1.7.4.</v>
      </c>
      <c r="F78" s="207" t="str">
        <f ca="1">OFFSET(ORÇAMENTO!R$15,ROW(F78)-ROW(F$15),0)</f>
        <v>CHUVEIRO ELÉTRICO COMUM CORPO PLÁSTICO, TIPO DUCHA  FORNECIMENTO E INSTALAÇÃO. AF_01/2020</v>
      </c>
      <c r="G78" s="208" t="str">
        <f ca="1">IF($D78&lt;&gt;"Serviço","",OFFSET(ORÇAMENTO!S$15,ROW(G78)-ROW(G$15),0))</f>
        <v>UN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3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8</v>
      </c>
      <c r="N78" s="212" t="str">
        <f ca="1">IF($D78&lt;&gt;"Serviço","",IF(AUTOEVENTO="Manual",IF($A78=0,"&lt;-- defina o número do agrupador",OFFSET(EVENTOS!$D$14,$A78,0)),OFFSET($F$15,$A78,0)))</f>
        <v>ELETRICA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1000000000000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38.25" x14ac:dyDescent="0.2">
      <c r="A79" s="9" t="str">
        <f t="shared" ca="1" si="8"/>
        <v>59</v>
      </c>
      <c r="B79" s="9" t="str">
        <f ca="1">OFFSET(ORÇAMENTO!C$15,ROW(B79)-ROW(B$15),0)</f>
        <v>S</v>
      </c>
      <c r="C79" s="9" t="str">
        <f ca="1">OFFSET(ORÇAMENTO!L$15,ROW(C79)-ROW(C$15),0)</f>
        <v>F</v>
      </c>
      <c r="D79" s="146" t="str">
        <f ca="1">OFFSET(ORÇAMENTO!N$15,ROW(D79)-ROW(D$15),0)</f>
        <v>Serviço</v>
      </c>
      <c r="E79" s="206" t="str">
        <f ca="1">OFFSET(ORÇAMENTO!O$15,ROW(E79)-ROW(E$15),0)</f>
        <v>1.7.5.</v>
      </c>
      <c r="F79" s="207" t="str">
        <f ca="1">OFFSET(ORÇAMENTO!R$15,ROW(F79)-ROW(F$15),0)</f>
        <v>CABO DE COBRE FLEXÍVEL ISOLADO, 2,5 MM², ANTI-CHAMA 450/750 V, PARA CIRCUITOS TERMINAIS - FORNECIMENTO E INSTALAÇÃO. AF_12/2015</v>
      </c>
      <c r="G79" s="208" t="str">
        <f ca="1">IF($D79&lt;&gt;"Serviço","",OFFSET(ORÇAMENTO!S$15,ROW(G79)-ROW(G$15),0))</f>
        <v>M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470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8</v>
      </c>
      <c r="N79" s="212" t="str">
        <f ca="1">IF($D79&lt;&gt;"Serviço","",IF(AUTOEVENTO="Manual",IF($A79=0,"&lt;-- defina o número do agrupador",OFFSET(EVENTOS!$D$14,$A79,0)),OFFSET($F$15,$A79,0)))</f>
        <v>ELETRICA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1000000000000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38.2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59</v>
      </c>
      <c r="B80" s="9" t="str">
        <f ca="1">OFFSET(ORÇAMENTO!C$15,ROW(B80)-ROW(B$15),0)</f>
        <v>S</v>
      </c>
      <c r="C80" s="9" t="str">
        <f ca="1">OFFSET(ORÇAMENTO!L$15,ROW(C80)-ROW(C$15),0)</f>
        <v>F</v>
      </c>
      <c r="D80" s="146" t="str">
        <f ca="1">OFFSET(ORÇAMENTO!N$15,ROW(D80)-ROW(D$15),0)</f>
        <v>Serviço</v>
      </c>
      <c r="E80" s="206" t="str">
        <f ca="1">OFFSET(ORÇAMENTO!O$15,ROW(E80)-ROW(E$15),0)</f>
        <v>1.7.6.</v>
      </c>
      <c r="F80" s="207" t="str">
        <f ca="1">OFFSET(ORÇAMENTO!R$15,ROW(F80)-ROW(F$15),0)</f>
        <v>CABO DE COBRE FLEXÍVEL ISOLADO, 6 MM², ANTI-CHAMA 0,6/1,0 KV, PARA CIRCUITOS TERMINAIS - FORNECIMENTO E INSTALAÇÃO. AF_12/2015</v>
      </c>
      <c r="G80" s="208" t="str">
        <f ca="1">IF($D80&lt;&gt;"Serviço","",OFFSET(ORÇAMENTO!S$15,ROW(G80)-ROW(G$15),0))</f>
        <v>M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120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8</v>
      </c>
      <c r="N80" s="212" t="str">
        <f ca="1">IF($D80&lt;&gt;"Serviço","",IF(AUTOEVENTO="Manual",IF($A80=0,"&lt;-- defina o número do agrupador",OFFSET(EVENTOS!$D$14,$A80,0)),OFFSET($F$15,$A80,0)))</f>
        <v>ELETRICA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1000000000000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38.25" x14ac:dyDescent="0.2">
      <c r="A81" s="9" t="str">
        <f t="shared" ca="1" si="9"/>
        <v>59</v>
      </c>
      <c r="B81" s="9" t="str">
        <f ca="1">OFFSET(ORÇAMENTO!C$15,ROW(B81)-ROW(B$15),0)</f>
        <v>S</v>
      </c>
      <c r="C81" s="9" t="str">
        <f ca="1">OFFSET(ORÇAMENTO!L$15,ROW(C81)-ROW(C$15),0)</f>
        <v>F</v>
      </c>
      <c r="D81" s="146" t="str">
        <f ca="1">OFFSET(ORÇAMENTO!N$15,ROW(D81)-ROW(D$15),0)</f>
        <v>Serviço</v>
      </c>
      <c r="E81" s="206" t="str">
        <f ca="1">OFFSET(ORÇAMENTO!O$15,ROW(E81)-ROW(E$15),0)</f>
        <v>1.7.7.</v>
      </c>
      <c r="F81" s="207" t="str">
        <f ca="1">OFFSET(ORÇAMENTO!R$15,ROW(F81)-ROW(F$15),0)</f>
        <v>INTERRUPTOR SIMPLES (2 MÓDULOS) COM 1 TOMADA DE EMBUTIR 2P+T 10 A,  INCLUINDO SUPORTE E PLACA - FORNECIMENTO E INSTALAÇÃO. AF_12/2015</v>
      </c>
      <c r="G81" s="208" t="str">
        <f ca="1">IF($D81&lt;&gt;"Serviço","",OFFSET(ORÇAMENTO!S$15,ROW(G81)-ROW(G$15),0))</f>
        <v>UN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7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8</v>
      </c>
      <c r="N81" s="212" t="str">
        <f ca="1">IF($D81&lt;&gt;"Serviço","",IF(AUTOEVENTO="Manual",IF($A81=0,"&lt;-- defina o número do agrupador",OFFSET(EVENTOS!$D$14,$A81,0)),OFFSET($F$15,$A81,0)))</f>
        <v>ELETRICA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1000000000000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25.5" x14ac:dyDescent="0.2">
      <c r="A82" s="9" t="str">
        <f t="shared" ca="1" si="9"/>
        <v>59</v>
      </c>
      <c r="B82" s="9" t="str">
        <f ca="1">OFFSET(ORÇAMENTO!C$15,ROW(B82)-ROW(B$15),0)</f>
        <v>S</v>
      </c>
      <c r="C82" s="9" t="str">
        <f ca="1">OFFSET(ORÇAMENTO!L$15,ROW(C82)-ROW(C$15),0)</f>
        <v>F</v>
      </c>
      <c r="D82" s="146" t="str">
        <f ca="1">OFFSET(ORÇAMENTO!N$15,ROW(D82)-ROW(D$15),0)</f>
        <v>Serviço</v>
      </c>
      <c r="E82" s="206" t="str">
        <f ca="1">OFFSET(ORÇAMENTO!O$15,ROW(E82)-ROW(E$15),0)</f>
        <v>1.7.8.</v>
      </c>
      <c r="F82" s="207" t="str">
        <f ca="1">OFFSET(ORÇAMENTO!R$15,ROW(F82)-ROW(F$15),0)</f>
        <v>TOMADA MÉDIA DE EMBUTIR (1 MÓDULO), 2P+T 10 A, INCLUINDO SUPORTE E PLACA - FORNECIMENTO E INSTALAÇÃO. AF_12/2015</v>
      </c>
      <c r="G82" s="208" t="str">
        <f ca="1">IF($D82&lt;&gt;"Serviço","",OFFSET(ORÇAMENTO!S$15,ROW(G82)-ROW(G$15),0))</f>
        <v>UN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10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8</v>
      </c>
      <c r="N82" s="212" t="str">
        <f ca="1">IF($D82&lt;&gt;"Serviço","",IF(AUTOEVENTO="Manual",IF($A82=0,"&lt;-- defina o número do agrupador",OFFSET(EVENTOS!$D$14,$A82,0)),OFFSET($F$15,$A82,0)))</f>
        <v>ELETRICA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1000000000000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25.5" x14ac:dyDescent="0.2">
      <c r="A83" s="9" t="str">
        <f t="shared" ca="1" si="9"/>
        <v>59</v>
      </c>
      <c r="B83" s="9" t="str">
        <f ca="1">OFFSET(ORÇAMENTO!C$15,ROW(B83)-ROW(B$15),0)</f>
        <v>S</v>
      </c>
      <c r="C83" s="9" t="str">
        <f ca="1">OFFSET(ORÇAMENTO!L$15,ROW(C83)-ROW(C$15),0)</f>
        <v>F</v>
      </c>
      <c r="D83" s="146" t="str">
        <f ca="1">OFFSET(ORÇAMENTO!N$15,ROW(D83)-ROW(D$15),0)</f>
        <v>Serviço</v>
      </c>
      <c r="E83" s="206" t="str">
        <f ca="1">OFFSET(ORÇAMENTO!O$15,ROW(E83)-ROW(E$15),0)</f>
        <v>1.7.9.</v>
      </c>
      <c r="F83" s="207" t="str">
        <f ca="1">OFFSET(ORÇAMENTO!R$15,ROW(F83)-ROW(F$15),0)</f>
        <v>TOMADA ALTA DE EMBUTIR (1 MÓDULO), 2P+T 20 A, INCLUINDO SUPORTE E PLACA - FORNECIMENTO E INSTALAÇÃO. AF_12/2015</v>
      </c>
      <c r="G83" s="208" t="str">
        <f ca="1">IF($D83&lt;&gt;"Serviço","",OFFSET(ORÇAMENTO!S$15,ROW(G83)-ROW(G$15),0))</f>
        <v>UN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3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8</v>
      </c>
      <c r="N83" s="212" t="str">
        <f ca="1">IF($D83&lt;&gt;"Serviço","",IF(AUTOEVENTO="Manual",IF($A83=0,"&lt;-- defina o número do agrupador",OFFSET(EVENTOS!$D$14,$A83,0)),OFFSET($F$15,$A83,0)))</f>
        <v>ELETRICA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1000000000000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25.5" x14ac:dyDescent="0.2">
      <c r="A84" s="9" t="str">
        <f t="shared" ca="1" si="9"/>
        <v>59</v>
      </c>
      <c r="B84" s="9" t="str">
        <f ca="1">OFFSET(ORÇAMENTO!C$15,ROW(B84)-ROW(B$15),0)</f>
        <v>S</v>
      </c>
      <c r="C84" s="9" t="str">
        <f ca="1">OFFSET(ORÇAMENTO!L$15,ROW(C84)-ROW(C$15),0)</f>
        <v>F</v>
      </c>
      <c r="D84" s="146" t="str">
        <f ca="1">OFFSET(ORÇAMENTO!N$15,ROW(D84)-ROW(D$15),0)</f>
        <v>Serviço</v>
      </c>
      <c r="E84" s="206" t="str">
        <f ca="1">OFFSET(ORÇAMENTO!O$15,ROW(E84)-ROW(E$15),0)</f>
        <v>1.7.10.</v>
      </c>
      <c r="F84" s="207" t="str">
        <f ca="1">OFFSET(ORÇAMENTO!R$15,ROW(F84)-ROW(F$15),0)</f>
        <v>LUMINÁRIA TIPO PLAFON, DE SOBREPOR, COM 1 LÂMPADA LED DE 12/13 W, SEM REATOR - FORNECIMENTO E INSTALAÇÃO. AF_02/2020</v>
      </c>
      <c r="G84" s="208" t="str">
        <f ca="1">IF($D84&lt;&gt;"Serviço","",OFFSET(ORÇAMENTO!S$15,ROW(G84)-ROW(G$15),0))</f>
        <v>UN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12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8</v>
      </c>
      <c r="N84" s="212" t="str">
        <f ca="1">IF($D84&lt;&gt;"Serviço","",IF(AUTOEVENTO="Manual",IF($A84=0,"&lt;-- defina o número do agrupador",OFFSET(EVENTOS!$D$14,$A84,0)),OFFSET($F$15,$A84,0)))</f>
        <v>ELETRICA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1000000000000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70.</v>
      </c>
      <c r="B85" s="9">
        <f ca="1">OFFSET(ORÇAMENTO!C$15,ROW(B85)-ROW(B$15),0)</f>
        <v>2</v>
      </c>
      <c r="C85" s="9" t="str">
        <f ca="1">OFFSET(ORÇAMENTO!L$15,ROW(C85)-ROW(C$15),0)</f>
        <v>F</v>
      </c>
      <c r="D85" s="146" t="str">
        <f ca="1">OFFSET(ORÇAMENTO!N$15,ROW(D85)-ROW(D$15),0)</f>
        <v>Nível 2</v>
      </c>
      <c r="E85" s="206" t="str">
        <f ca="1">OFFSET(ORÇAMENTO!O$15,ROW(E85)-ROW(E$15),0)</f>
        <v>1.8.</v>
      </c>
      <c r="F85" s="207" t="str">
        <f ca="1">OFFSET(ORÇAMENTO!R$15,ROW(F85)-ROW(F$15),0)</f>
        <v>HIDROSANITÁRIO</v>
      </c>
      <c r="G85" s="208" t="str">
        <f ca="1">IF($D85&lt;&gt;"Serviço","",OFFSET(ORÇAMENTO!S$15,ROW(G85)-ROW(G$15),0))</f>
        <v/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 t="str">
        <f ca="1">IF($D85&lt;&gt;"Serviço","",IF(AUTOEVENTO="manual",$A85,IF(ISERROR(MATCH($A85,$A$15:OFFSET($A85,-1,0),0)),MAX($M$15:OFFSET(M85,-1,0))+1,INDEX($M$15:OFFSET(M85,-1,0),MATCH($A85,$A$15:OFFSET($A85,-1,0),0)))))</f>
        <v/>
      </c>
      <c r="N85" s="212" t="str">
        <f ca="1">IF($D85&lt;&gt;"Serviço","",IF(AUTOEVENTO="Manual",IF($A85=0,"&lt;-- defina o número do agrupador",OFFSET(EVENTOS!$D$14,$A85,0)),OFFSET($F$15,$A85,0)))</f>
        <v/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0</v>
      </c>
      <c r="AN85" s="216">
        <f ca="1">IF($D85&lt;&gt;"Serviço",0,IF(AND(AUTOEVENTO="Manual",$M85=1),0,IF(OFFSET(CRONOPLE!$F$14,$M85,AN$13)="",10^12,OFFSET(CRONOPLE!$F$14,$M85,AN$13))))</f>
        <v>0</v>
      </c>
      <c r="AO85" s="216">
        <f ca="1">IF($D85&lt;&gt;"Serviço",0,IF(AND(AUTOEVENTO="Manual",$M85=1),0,IF(OFFSET(CRONOPLE!$F$14,$M85,AO$13)="",10^12,OFFSET(CRONOPLE!$F$14,$M85,AO$13))))</f>
        <v>0</v>
      </c>
      <c r="AP85" s="216">
        <f ca="1">IF($D85&lt;&gt;"Serviço",0,IF(AND(AUTOEVENTO="Manual",$M85=1),0,IF(OFFSET(CRONOPLE!$F$14,$M85,AP$13)="",10^12,OFFSET(CRONOPLE!$F$14,$M85,AP$13))))</f>
        <v>0</v>
      </c>
      <c r="AQ85" s="216">
        <f ca="1">IF($D85&lt;&gt;"Serviço",0,IF(AND(AUTOEVENTO="Manual",$M85=1),0,IF(OFFSET(CRONOPLE!$F$14,$M85,AQ$13)="",10^12,OFFSET(CRONOPLE!$F$14,$M85,AQ$13))))</f>
        <v>0</v>
      </c>
      <c r="AR85" s="216">
        <f ca="1">IF($D85&lt;&gt;"Serviço",0,IF(AND(AUTOEVENTO="Manual",$M85=1),0,IF(OFFSET(CRONOPLE!$F$14,$M85,AR$13)="",10^12,OFFSET(CRONOPLE!$F$14,$M85,AR$13))))</f>
        <v>0</v>
      </c>
      <c r="AS85" s="216">
        <f ca="1">IF($D85&lt;&gt;"Serviço",0,IF(AND(AUTOEVENTO="Manual",$M85=1),0,IF(OFFSET(CRONOPLE!$F$14,$M85,AS$13)="",10^12,OFFSET(CRONOPLE!$F$14,$M85,AS$13))))</f>
        <v>0</v>
      </c>
      <c r="AT85" s="216">
        <f ca="1">IF($D85&lt;&gt;"Serviço",0,IF(AND(AUTOEVENTO="Manual",$M85=1),0,IF(OFFSET(CRONOPLE!$F$14,$M85,AT$13)="",10^12,OFFSET(CRONOPLE!$F$14,$M85,AT$13))))</f>
        <v>0</v>
      </c>
      <c r="AU85" s="216">
        <f ca="1">IF($D85&lt;&gt;"Serviço",0,IF(AND(AUTOEVENTO="Manual",$M85=1),0,IF(OFFSET(CRONOPLE!$F$14,$M85,AU$13)="",10^12,OFFSET(CRONOPLE!$F$14,$M85,AU$13))))</f>
        <v>0</v>
      </c>
      <c r="AV85" s="216">
        <f ca="1">IF($D85&lt;&gt;"Serviço",0,IF(AND(AUTOEVENTO="Manual",$M85=1),0,IF(OFFSET(CRONOPLE!$F$14,$M85,AV$13)="",10^12,OFFSET(CRONOPLE!$F$14,$M85,AV$13))))</f>
        <v>0</v>
      </c>
      <c r="AX85" s="217">
        <f ca="1">IF($D85&lt;&gt;"Serviço",0,IF(OR(AND(AUTOEVENTO="Manual",$M85=1),$M85&gt;(ROW(PLE.lastrow)-ROW(PLE.firstrow))),0,IF(OFFSET(PLE!$G$14,$M85,AX$13)="",10^12,OFFSET(PLE!$G$14,$M85,AX$13))))</f>
        <v>0</v>
      </c>
      <c r="AY85" s="217">
        <f ca="1">IF($D85&lt;&gt;"Serviço",0,IF(OR(AND(AUTOEVENTO="Manual",$M85=1),$M85&gt;(ROW(PLE.lastrow)-ROW(PLE.firstrow))),0,IF(OFFSET(PLE!$G$14,$M85,AY$13)="",10^12,OFFSET(PLE!$G$14,$M85,AY$13))))</f>
        <v>0</v>
      </c>
      <c r="AZ85" s="217">
        <f ca="1">IF($D85&lt;&gt;"Serviço",0,IF(OR(AND(AUTOEVENTO="Manual",$M85=1),$M85&gt;(ROW(PLE.lastrow)-ROW(PLE.firstrow))),0,IF(OFFSET(PLE!$G$14,$M85,AZ$13)="",10^12,OFFSET(PLE!$G$14,$M85,AZ$13))))</f>
        <v>0</v>
      </c>
      <c r="BA85" s="217">
        <f ca="1">IF($D85&lt;&gt;"Serviço",0,IF(OR(AND(AUTOEVENTO="Manual",$M85=1),$M85&gt;(ROW(PLE.lastrow)-ROW(PLE.firstrow))),0,IF(OFFSET(PLE!$G$14,$M85,BA$13)="",10^12,OFFSET(PLE!$G$14,$M85,BA$13))))</f>
        <v>0</v>
      </c>
      <c r="BB85" s="217">
        <f ca="1">IF($D85&lt;&gt;"Serviço",0,IF(OR(AND(AUTOEVENTO="Manual",$M85=1),$M85&gt;(ROW(PLE.lastrow)-ROW(PLE.firstrow))),0,IF(OFFSET(PLE!$G$14,$M85,BB$13)="",10^12,OFFSET(PLE!$G$14,$M85,BB$13))))</f>
        <v>0</v>
      </c>
      <c r="BC85" s="217">
        <f ca="1">IF($D85&lt;&gt;"Serviço",0,IF(OR(AND(AUTOEVENTO="Manual",$M85=1),$M85&gt;(ROW(PLE.lastrow)-ROW(PLE.firstrow))),0,IF(OFFSET(PLE!$G$14,$M85,BC$13)="",10^12,OFFSET(PLE!$G$14,$M85,BC$13))))</f>
        <v>0</v>
      </c>
      <c r="BD85" s="217">
        <f ca="1">IF($D85&lt;&gt;"Serviço",0,IF(OR(AND(AUTOEVENTO="Manual",$M85=1),$M85&gt;(ROW(PLE.lastrow)-ROW(PLE.firstrow))),0,IF(OFFSET(PLE!$G$14,$M85,BD$13)="",10^12,OFFSET(PLE!$G$14,$M85,BD$13))))</f>
        <v>0</v>
      </c>
      <c r="BE85" s="217">
        <f ca="1">IF($D85&lt;&gt;"Serviço",0,IF(OR(AND(AUTOEVENTO="Manual",$M85=1),$M85&gt;(ROW(PLE.lastrow)-ROW(PLE.firstrow))),0,IF(OFFSET(PLE!$G$14,$M85,BE$13)="",10^12,OFFSET(PLE!$G$14,$M85,BE$13))))</f>
        <v>0</v>
      </c>
      <c r="BF85" s="217">
        <f ca="1">IF($D85&lt;&gt;"Serviço",0,IF(OR(AND(AUTOEVENTO="Manual",$M85=1),$M85&gt;(ROW(PLE.lastrow)-ROW(PLE.firstrow))),0,IF(OFFSET(PLE!$G$14,$M85,BF$13)="",10^12,OFFSET(PLE!$G$14,$M85,BF$13))))</f>
        <v>0</v>
      </c>
      <c r="BG85" s="217">
        <f ca="1">IF($D85&lt;&gt;"Serviço",0,IF(OR(AND(AUTOEVENTO="Manual",$M85=1),$M85&gt;(ROW(PLE.lastrow)-ROW(PLE.firstrow))),0,IF(OFFSET(PLE!$G$14,$M85,BG$13)="",10^12,OFFSET(PLE!$G$14,$M85,BG$13))))</f>
        <v>0</v>
      </c>
    </row>
    <row r="86" spans="1:59" ht="25.5" x14ac:dyDescent="0.2">
      <c r="A86" s="9" t="str">
        <f t="shared" ca="1" si="9"/>
        <v>70</v>
      </c>
      <c r="B86" s="9" t="str">
        <f ca="1">OFFSET(ORÇAMENTO!C$15,ROW(B86)-ROW(B$15),0)</f>
        <v>S</v>
      </c>
      <c r="C86" s="9" t="str">
        <f ca="1">OFFSET(ORÇAMENTO!L$15,ROW(C86)-ROW(C$15),0)</f>
        <v>F</v>
      </c>
      <c r="D86" s="146" t="str">
        <f ca="1">OFFSET(ORÇAMENTO!N$15,ROW(D86)-ROW(D$15),0)</f>
        <v>Serviço</v>
      </c>
      <c r="E86" s="206" t="str">
        <f ca="1">OFFSET(ORÇAMENTO!O$15,ROW(E86)-ROW(E$15),0)</f>
        <v>1.8.1.</v>
      </c>
      <c r="F86" s="207" t="str">
        <f ca="1">OFFSET(ORÇAMENTO!R$15,ROW(F86)-ROW(F$15),0)</f>
        <v>VASO SANITÁRIO SIFONADO COM CAIXA ACOPLADA LOUÇA BRANCA - FORNECIMENTO E INSTALAÇÃO. AF_01/2020</v>
      </c>
      <c r="G86" s="208" t="str">
        <f ca="1">IF($D86&lt;&gt;"Serviço","",OFFSET(ORÇAMENTO!S$15,ROW(G86)-ROW(G$15),0))</f>
        <v>UN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3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9</v>
      </c>
      <c r="N86" s="212" t="str">
        <f ca="1">IF($D86&lt;&gt;"Serviço","",IF(AUTOEVENTO="Manual",IF($A86=0,"&lt;-- defina o número do agrupador",OFFSET(EVENTOS!$D$14,$A86,0)),OFFSET($F$15,$A86,0)))</f>
        <v>HIDROSANITÁRIO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1000000000000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25.5" x14ac:dyDescent="0.2">
      <c r="A87" s="9" t="str">
        <f t="shared" ca="1" si="9"/>
        <v>70</v>
      </c>
      <c r="B87" s="9" t="str">
        <f ca="1">OFFSET(ORÇAMENTO!C$15,ROW(B87)-ROW(B$15),0)</f>
        <v>S</v>
      </c>
      <c r="C87" s="9" t="str">
        <f ca="1">OFFSET(ORÇAMENTO!L$15,ROW(C87)-ROW(C$15),0)</f>
        <v>F</v>
      </c>
      <c r="D87" s="146" t="str">
        <f ca="1">OFFSET(ORÇAMENTO!N$15,ROW(D87)-ROW(D$15),0)</f>
        <v>Serviço</v>
      </c>
      <c r="E87" s="206" t="str">
        <f ca="1">OFFSET(ORÇAMENTO!O$15,ROW(E87)-ROW(E$15),0)</f>
        <v>1.8.2.</v>
      </c>
      <c r="F87" s="207" t="str">
        <f ca="1">OFFSET(ORÇAMENTO!R$15,ROW(F87)-ROW(F$15),0)</f>
        <v>MICTÓRIO SIFONADO LOUÇA BRANCA  PADRÃO MÉDIO  FORNECIMENTO E INSTALAÇÃO. AF_01/2020</v>
      </c>
      <c r="G87" s="208" t="str">
        <f ca="1">IF($D87&lt;&gt;"Serviço","",OFFSET(ORÇAMENTO!S$15,ROW(G87)-ROW(G$15),0))</f>
        <v>UN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2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9</v>
      </c>
      <c r="N87" s="212" t="str">
        <f ca="1">IF($D87&lt;&gt;"Serviço","",IF(AUTOEVENTO="Manual",IF($A87=0,"&lt;-- defina o número do agrupador",OFFSET(EVENTOS!$D$14,$A87,0)),OFFSET($F$15,$A87,0)))</f>
        <v>HIDROSANITÁRIO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1000000000000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38.25" x14ac:dyDescent="0.2">
      <c r="A88" s="9" t="str">
        <f t="shared" ca="1" si="9"/>
        <v>70</v>
      </c>
      <c r="B88" s="9" t="str">
        <f ca="1">OFFSET(ORÇAMENTO!C$15,ROW(B88)-ROW(B$15),0)</f>
        <v>S</v>
      </c>
      <c r="C88" s="9" t="str">
        <f ca="1">OFFSET(ORÇAMENTO!L$15,ROW(C88)-ROW(C$15),0)</f>
        <v>F</v>
      </c>
      <c r="D88" s="146" t="str">
        <f ca="1">OFFSET(ORÇAMENTO!N$15,ROW(D88)-ROW(D$15),0)</f>
        <v>Serviço</v>
      </c>
      <c r="E88" s="206" t="str">
        <f ca="1">OFFSET(ORÇAMENTO!O$15,ROW(E88)-ROW(E$15),0)</f>
        <v>1.8.3.</v>
      </c>
      <c r="F88" s="207" t="str">
        <f ca="1">OFFSET(ORÇAMENTO!R$15,ROW(F88)-ROW(F$15),0)</f>
        <v>TUBO PVC, SERIE NORMAL, ESGOTO PREDIAL, DN 100 MM, FORNECIDO E INSTALADO EM RAMAL DE DESCARGA OU RAMAL DE ESGOTO SANITÁRIO. AF_12/2014</v>
      </c>
      <c r="G88" s="208" t="str">
        <f ca="1">IF($D88&lt;&gt;"Serviço","",OFFSET(ORÇAMENTO!S$15,ROW(G88)-ROW(G$15),0))</f>
        <v>M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25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9</v>
      </c>
      <c r="N88" s="212" t="str">
        <f ca="1">IF($D88&lt;&gt;"Serviço","",IF(AUTOEVENTO="Manual",IF($A88=0,"&lt;-- defina o número do agrupador",OFFSET(EVENTOS!$D$14,$A88,0)),OFFSET($F$15,$A88,0)))</f>
        <v>HIDROSANITÁRIO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1000000000000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25.5" x14ac:dyDescent="0.2">
      <c r="A89" s="9" t="str">
        <f t="shared" ca="1" si="9"/>
        <v>70</v>
      </c>
      <c r="B89" s="9" t="str">
        <f ca="1">OFFSET(ORÇAMENTO!C$15,ROW(B89)-ROW(B$15),0)</f>
        <v>S</v>
      </c>
      <c r="C89" s="9" t="str">
        <f ca="1">OFFSET(ORÇAMENTO!L$15,ROW(C89)-ROW(C$15),0)</f>
        <v>F</v>
      </c>
      <c r="D89" s="146" t="str">
        <f ca="1">OFFSET(ORÇAMENTO!N$15,ROW(D89)-ROW(D$15),0)</f>
        <v>Serviço</v>
      </c>
      <c r="E89" s="206" t="str">
        <f ca="1">OFFSET(ORÇAMENTO!O$15,ROW(E89)-ROW(E$15),0)</f>
        <v>1.8.4.</v>
      </c>
      <c r="F89" s="207" t="str">
        <f ca="1">OFFSET(ORÇAMENTO!R$15,ROW(F89)-ROW(F$15),0)</f>
        <v>TUBO, PVC, SOLDÁVEL, DN 25MM, INSTALADO EM PRUMADA DE ÁGUA - FORNECIMENTO E INSTALAÇÃO. AF_12/2014</v>
      </c>
      <c r="G89" s="208" t="str">
        <f ca="1">IF($D89&lt;&gt;"Serviço","",OFFSET(ORÇAMENTO!S$15,ROW(G89)-ROW(G$15),0))</f>
        <v>M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80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9</v>
      </c>
      <c r="N89" s="212" t="str">
        <f ca="1">IF($D89&lt;&gt;"Serviço","",IF(AUTOEVENTO="Manual",IF($A89=0,"&lt;-- defina o número do agrupador",OFFSET(EVENTOS!$D$14,$A89,0)),OFFSET($F$15,$A89,0)))</f>
        <v>HIDROSANITÁRIO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1000000000000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25.5" x14ac:dyDescent="0.2">
      <c r="A90" s="9" t="str">
        <f t="shared" ca="1" si="9"/>
        <v>70</v>
      </c>
      <c r="B90" s="9" t="str">
        <f ca="1">OFFSET(ORÇAMENTO!C$15,ROW(B90)-ROW(B$15),0)</f>
        <v>S</v>
      </c>
      <c r="C90" s="9" t="str">
        <f ca="1">OFFSET(ORÇAMENTO!L$15,ROW(C90)-ROW(C$15),0)</f>
        <v>F</v>
      </c>
      <c r="D90" s="146" t="str">
        <f ca="1">OFFSET(ORÇAMENTO!N$15,ROW(D90)-ROW(D$15),0)</f>
        <v>Serviço</v>
      </c>
      <c r="E90" s="206" t="str">
        <f ca="1">OFFSET(ORÇAMENTO!O$15,ROW(E90)-ROW(E$15),0)</f>
        <v>1.8.5.</v>
      </c>
      <c r="F90" s="207" t="str">
        <f ca="1">OFFSET(ORÇAMENTO!R$15,ROW(F90)-ROW(F$15),0)</f>
        <v>RALO SIFONADO PVC REDONDO CONICO, 100 X 40 MM, COM GRELHA  BRANCA REDONDA</v>
      </c>
      <c r="G90" s="208" t="str">
        <f ca="1">IF($D90&lt;&gt;"Serviço","",OFFSET(ORÇAMENTO!S$15,ROW(G90)-ROW(G$15),0))</f>
        <v xml:space="preserve">UN    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4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9</v>
      </c>
      <c r="N90" s="212" t="str">
        <f ca="1">IF($D90&lt;&gt;"Serviço","",IF(AUTOEVENTO="Manual",IF($A90=0,"&lt;-- defina o número do agrupador",OFFSET(EVENTOS!$D$14,$A90,0)),OFFSET($F$15,$A90,0)))</f>
        <v>HIDROSANITÁRIO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1000000000000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25.5" x14ac:dyDescent="0.2">
      <c r="A91" s="9" t="str">
        <f t="shared" ca="1" si="9"/>
        <v>70</v>
      </c>
      <c r="B91" s="9" t="str">
        <f ca="1">OFFSET(ORÇAMENTO!C$15,ROW(B91)-ROW(B$15),0)</f>
        <v>S</v>
      </c>
      <c r="C91" s="9" t="str">
        <f ca="1">OFFSET(ORÇAMENTO!L$15,ROW(C91)-ROW(C$15),0)</f>
        <v>F</v>
      </c>
      <c r="D91" s="146" t="str">
        <f ca="1">OFFSET(ORÇAMENTO!N$15,ROW(D91)-ROW(D$15),0)</f>
        <v>Serviço</v>
      </c>
      <c r="E91" s="206" t="str">
        <f ca="1">OFFSET(ORÇAMENTO!O$15,ROW(E91)-ROW(E$15),0)</f>
        <v>1.8.6.</v>
      </c>
      <c r="F91" s="207" t="str">
        <f ca="1">OFFSET(ORÇAMENTO!R$15,ROW(F91)-ROW(F$15),0)</f>
        <v>REGISTRO DE GAVETA BRUTO, LATÃO, ROSCÁVEL, 1/2", FORNECIDO E INSTALADO EM RAMAL DE ÁGUA. AF_12/2014</v>
      </c>
      <c r="G91" s="208" t="str">
        <f ca="1">IF($D91&lt;&gt;"Serviço","",OFFSET(ORÇAMENTO!S$15,ROW(G91)-ROW(G$15),0))</f>
        <v>UN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4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9</v>
      </c>
      <c r="N91" s="212" t="str">
        <f ca="1">IF($D91&lt;&gt;"Serviço","",IF(AUTOEVENTO="Manual",IF($A91=0,"&lt;-- defina o número do agrupador",OFFSET(EVENTOS!$D$14,$A91,0)),OFFSET($F$15,$A91,0)))</f>
        <v>HIDROSANITÁRIO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1000000000000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70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9</v>
      </c>
      <c r="N92" s="212" t="str">
        <f ca="1">IF($D92&lt;&gt;"Serviço","",IF(AUTOEVENTO="Manual",IF($A92=0,"&lt;-- defina o número do agrupador",OFFSET(EVENTOS!$D$14,$A92,0)),OFFSET($F$15,$A92,0)))</f>
        <v>HIDROSANITÁRIO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1000000000000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78.</v>
      </c>
      <c r="B93" s="9">
        <f ca="1">OFFSET(ORÇAMENTO!C$15,ROW(B93)-ROW(B$15),0)</f>
        <v>2</v>
      </c>
      <c r="C93" s="9" t="str">
        <f ca="1">OFFSET(ORÇAMENTO!L$15,ROW(C93)-ROW(C$15),0)</f>
        <v>F</v>
      </c>
      <c r="D93" s="146" t="str">
        <f ca="1">OFFSET(ORÇAMENTO!N$15,ROW(D93)-ROW(D$15),0)</f>
        <v>Nível 2</v>
      </c>
      <c r="E93" s="206" t="str">
        <f ca="1">OFFSET(ORÇAMENTO!O$15,ROW(E93)-ROW(E$15),0)</f>
        <v>1.9.</v>
      </c>
      <c r="F93" s="207" t="str">
        <f ca="1">OFFSET(ORÇAMENTO!R$15,ROW(F93)-ROW(F$15),0)</f>
        <v>EQUIPAMENTOS</v>
      </c>
      <c r="G93" s="208" t="str">
        <f ca="1">IF($D93&lt;&gt;"Serviço","",OFFSET(ORÇAMENTO!S$15,ROW(G93)-ROW(G$15),0))</f>
        <v/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 t="str">
        <f ca="1">IF($D93&lt;&gt;"Serviço","",IF(AUTOEVENTO="manual",$A93,IF(ISERROR(MATCH($A93,$A$15:OFFSET($A93,-1,0),0)),MAX($M$15:OFFSET(M93,-1,0))+1,INDEX($M$15:OFFSET(M93,-1,0),MATCH($A93,$A$15:OFFSET($A93,-1,0),0)))))</f>
        <v/>
      </c>
      <c r="N93" s="212" t="str">
        <f ca="1">IF($D93&lt;&gt;"Serviço","",IF(AUTOEVENTO="Manual",IF($A93=0,"&lt;-- defina o número do agrupador",OFFSET(EVENTOS!$D$14,$A93,0)),OFFSET($F$15,$A93,0)))</f>
        <v/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0</v>
      </c>
      <c r="AN93" s="216">
        <f ca="1">IF($D93&lt;&gt;"Serviço",0,IF(AND(AUTOEVENTO="Manual",$M93=1),0,IF(OFFSET(CRONOPLE!$F$14,$M93,AN$13)="",10^12,OFFSET(CRONOPLE!$F$14,$M93,AN$13))))</f>
        <v>0</v>
      </c>
      <c r="AO93" s="216">
        <f ca="1">IF($D93&lt;&gt;"Serviço",0,IF(AND(AUTOEVENTO="Manual",$M93=1),0,IF(OFFSET(CRONOPLE!$F$14,$M93,AO$13)="",10^12,OFFSET(CRONOPLE!$F$14,$M93,AO$13))))</f>
        <v>0</v>
      </c>
      <c r="AP93" s="216">
        <f ca="1">IF($D93&lt;&gt;"Serviço",0,IF(AND(AUTOEVENTO="Manual",$M93=1),0,IF(OFFSET(CRONOPLE!$F$14,$M93,AP$13)="",10^12,OFFSET(CRONOPLE!$F$14,$M93,AP$13))))</f>
        <v>0</v>
      </c>
      <c r="AQ93" s="216">
        <f ca="1">IF($D93&lt;&gt;"Serviço",0,IF(AND(AUTOEVENTO="Manual",$M93=1),0,IF(OFFSET(CRONOPLE!$F$14,$M93,AQ$13)="",10^12,OFFSET(CRONOPLE!$F$14,$M93,AQ$13))))</f>
        <v>0</v>
      </c>
      <c r="AR93" s="216">
        <f ca="1">IF($D93&lt;&gt;"Serviço",0,IF(AND(AUTOEVENTO="Manual",$M93=1),0,IF(OFFSET(CRONOPLE!$F$14,$M93,AR$13)="",10^12,OFFSET(CRONOPLE!$F$14,$M93,AR$13))))</f>
        <v>0</v>
      </c>
      <c r="AS93" s="216">
        <f ca="1">IF($D93&lt;&gt;"Serviço",0,IF(AND(AUTOEVENTO="Manual",$M93=1),0,IF(OFFSET(CRONOPLE!$F$14,$M93,AS$13)="",10^12,OFFSET(CRONOPLE!$F$14,$M93,AS$13))))</f>
        <v>0</v>
      </c>
      <c r="AT93" s="216">
        <f ca="1">IF($D93&lt;&gt;"Serviço",0,IF(AND(AUTOEVENTO="Manual",$M93=1),0,IF(OFFSET(CRONOPLE!$F$14,$M93,AT$13)="",10^12,OFFSET(CRONOPLE!$F$14,$M93,AT$13))))</f>
        <v>0</v>
      </c>
      <c r="AU93" s="216">
        <f ca="1">IF($D93&lt;&gt;"Serviço",0,IF(AND(AUTOEVENTO="Manual",$M93=1),0,IF(OFFSET(CRONOPLE!$F$14,$M93,AU$13)="",10^12,OFFSET(CRONOPLE!$F$14,$M93,AU$13))))</f>
        <v>0</v>
      </c>
      <c r="AV93" s="216">
        <f ca="1">IF($D93&lt;&gt;"Serviço",0,IF(AND(AUTOEVENTO="Manual",$M93=1),0,IF(OFFSET(CRONOPLE!$F$14,$M93,AV$13)="",10^12,OFFSET(CRONOPLE!$F$14,$M93,AV$13))))</f>
        <v>0</v>
      </c>
      <c r="AX93" s="217">
        <f ca="1">IF($D93&lt;&gt;"Serviço",0,IF(OR(AND(AUTOEVENTO="Manual",$M93=1),$M93&gt;(ROW(PLE.lastrow)-ROW(PLE.firstrow))),0,IF(OFFSET(PLE!$G$14,$M93,AX$13)="",10^12,OFFSET(PLE!$G$14,$M93,AX$13))))</f>
        <v>0</v>
      </c>
      <c r="AY93" s="217">
        <f ca="1">IF($D93&lt;&gt;"Serviço",0,IF(OR(AND(AUTOEVENTO="Manual",$M93=1),$M93&gt;(ROW(PLE.lastrow)-ROW(PLE.firstrow))),0,IF(OFFSET(PLE!$G$14,$M93,AY$13)="",10^12,OFFSET(PLE!$G$14,$M93,AY$13))))</f>
        <v>0</v>
      </c>
      <c r="AZ93" s="217">
        <f ca="1">IF($D93&lt;&gt;"Serviço",0,IF(OR(AND(AUTOEVENTO="Manual",$M93=1),$M93&gt;(ROW(PLE.lastrow)-ROW(PLE.firstrow))),0,IF(OFFSET(PLE!$G$14,$M93,AZ$13)="",10^12,OFFSET(PLE!$G$14,$M93,AZ$13))))</f>
        <v>0</v>
      </c>
      <c r="BA93" s="217">
        <f ca="1">IF($D93&lt;&gt;"Serviço",0,IF(OR(AND(AUTOEVENTO="Manual",$M93=1),$M93&gt;(ROW(PLE.lastrow)-ROW(PLE.firstrow))),0,IF(OFFSET(PLE!$G$14,$M93,BA$13)="",10^12,OFFSET(PLE!$G$14,$M93,BA$13))))</f>
        <v>0</v>
      </c>
      <c r="BB93" s="217">
        <f ca="1">IF($D93&lt;&gt;"Serviço",0,IF(OR(AND(AUTOEVENTO="Manual",$M93=1),$M93&gt;(ROW(PLE.lastrow)-ROW(PLE.firstrow))),0,IF(OFFSET(PLE!$G$14,$M93,BB$13)="",10^12,OFFSET(PLE!$G$14,$M93,BB$13))))</f>
        <v>0</v>
      </c>
      <c r="BC93" s="217">
        <f ca="1">IF($D93&lt;&gt;"Serviço",0,IF(OR(AND(AUTOEVENTO="Manual",$M93=1),$M93&gt;(ROW(PLE.lastrow)-ROW(PLE.firstrow))),0,IF(OFFSET(PLE!$G$14,$M93,BC$13)="",10^12,OFFSET(PLE!$G$14,$M93,BC$13))))</f>
        <v>0</v>
      </c>
      <c r="BD93" s="217">
        <f ca="1">IF($D93&lt;&gt;"Serviço",0,IF(OR(AND(AUTOEVENTO="Manual",$M93=1),$M93&gt;(ROW(PLE.lastrow)-ROW(PLE.firstrow))),0,IF(OFFSET(PLE!$G$14,$M93,BD$13)="",10^12,OFFSET(PLE!$G$14,$M93,BD$13))))</f>
        <v>0</v>
      </c>
      <c r="BE93" s="217">
        <f ca="1">IF($D93&lt;&gt;"Serviço",0,IF(OR(AND(AUTOEVENTO="Manual",$M93=1),$M93&gt;(ROW(PLE.lastrow)-ROW(PLE.firstrow))),0,IF(OFFSET(PLE!$G$14,$M93,BE$13)="",10^12,OFFSET(PLE!$G$14,$M93,BE$13))))</f>
        <v>0</v>
      </c>
      <c r="BF93" s="217">
        <f ca="1">IF($D93&lt;&gt;"Serviço",0,IF(OR(AND(AUTOEVENTO="Manual",$M93=1),$M93&gt;(ROW(PLE.lastrow)-ROW(PLE.firstrow))),0,IF(OFFSET(PLE!$G$14,$M93,BF$13)="",10^12,OFFSET(PLE!$G$14,$M93,BF$13))))</f>
        <v>0</v>
      </c>
      <c r="BG93" s="217">
        <f ca="1">IF($D93&lt;&gt;"Serviço",0,IF(OR(AND(AUTOEVENTO="Manual",$M93=1),$M93&gt;(ROW(PLE.lastrow)-ROW(PLE.firstrow))),0,IF(OFFSET(PLE!$G$14,$M93,BG$13)="",10^12,OFFSET(PLE!$G$14,$M93,BG$13))))</f>
        <v>0</v>
      </c>
    </row>
    <row r="94" spans="1:59" ht="38.25" x14ac:dyDescent="0.2">
      <c r="A94" s="9" t="str">
        <f t="shared" ca="1" si="9"/>
        <v>78</v>
      </c>
      <c r="B94" s="9" t="str">
        <f ca="1">OFFSET(ORÇAMENTO!C$15,ROW(B94)-ROW(B$15),0)</f>
        <v>S</v>
      </c>
      <c r="C94" s="9" t="str">
        <f ca="1">OFFSET(ORÇAMENTO!L$15,ROW(C94)-ROW(C$15),0)</f>
        <v>F</v>
      </c>
      <c r="D94" s="146" t="str">
        <f ca="1">OFFSET(ORÇAMENTO!N$15,ROW(D94)-ROW(D$15),0)</f>
        <v>Serviço</v>
      </c>
      <c r="E94" s="206" t="str">
        <f ca="1">OFFSET(ORÇAMENTO!O$15,ROW(E94)-ROW(E$15),0)</f>
        <v>1.9.1.</v>
      </c>
      <c r="F94" s="207" t="str">
        <f ca="1">OFFSET(ORÇAMENTO!R$15,ROW(F94)-ROW(F$15),0)</f>
        <v>DIVISORIA EM GRANITO, COM DUAS FACES POLIDAS, TIPO ANDORINHA/ QUARTZ/ CASTELO/ CORUMBA OU OUTROS EQUIVALENTES DA REGIAO, E=  *3,0* CM</v>
      </c>
      <c r="G94" s="208" t="str">
        <f ca="1">IF($D94&lt;&gt;"Serviço","",OFFSET(ORÇAMENTO!S$15,ROW(G94)-ROW(G$15),0))</f>
        <v xml:space="preserve">M2    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11.5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10</v>
      </c>
      <c r="N94" s="212" t="str">
        <f ca="1">IF($D94&lt;&gt;"Serviço","",IF(AUTOEVENTO="Manual",IF($A94=0,"&lt;-- defina o número do agrupador",OFFSET(EVENTOS!$D$14,$A94,0)),OFFSET($F$15,$A94,0)))</f>
        <v>EQUIPAMENTOS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1000000000000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25.5" x14ac:dyDescent="0.2">
      <c r="A95" s="9" t="str">
        <f t="shared" ca="1" si="9"/>
        <v>78</v>
      </c>
      <c r="B95" s="9" t="str">
        <f ca="1">OFFSET(ORÇAMENTO!C$15,ROW(B95)-ROW(B$15),0)</f>
        <v>S</v>
      </c>
      <c r="C95" s="9" t="str">
        <f ca="1">OFFSET(ORÇAMENTO!L$15,ROW(C95)-ROW(C$15),0)</f>
        <v>F</v>
      </c>
      <c r="D95" s="146" t="str">
        <f ca="1">OFFSET(ORÇAMENTO!N$15,ROW(D95)-ROW(D$15),0)</f>
        <v>Serviço</v>
      </c>
      <c r="E95" s="206" t="str">
        <f ca="1">OFFSET(ORÇAMENTO!O$15,ROW(E95)-ROW(E$15),0)</f>
        <v>1.9.2.</v>
      </c>
      <c r="F95" s="207" t="str">
        <f ca="1">OFFSET(ORÇAMENTO!R$15,ROW(F95)-ROW(F$15),0)</f>
        <v>BANCADA DE MÁRMORE BRANCO POLIDO, DE 1,50 X 0,60 M, PARA PIA DE COZINHA - FORNECIMENTO E INSTALAÇÃO. AF_01/2020</v>
      </c>
      <c r="G95" s="208" t="str">
        <f ca="1">IF($D95&lt;&gt;"Serviço","",OFFSET(ORÇAMENTO!S$15,ROW(G95)-ROW(G$15),0))</f>
        <v>UN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1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10</v>
      </c>
      <c r="N95" s="212" t="str">
        <f ca="1">IF($D95&lt;&gt;"Serviço","",IF(AUTOEVENTO="Manual",IF($A95=0,"&lt;-- defina o número do agrupador",OFFSET(EVENTOS!$D$14,$A95,0)),OFFSET($F$15,$A95,0)))</f>
        <v>EQUIPAMENTOS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1000000000000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25.5" x14ac:dyDescent="0.2">
      <c r="A96" s="9" t="str">
        <f t="shared" ca="1" si="9"/>
        <v>78</v>
      </c>
      <c r="B96" s="9" t="str">
        <f ca="1">OFFSET(ORÇAMENTO!C$15,ROW(B96)-ROW(B$15),0)</f>
        <v>S</v>
      </c>
      <c r="C96" s="9" t="str">
        <f ca="1">OFFSET(ORÇAMENTO!L$15,ROW(C96)-ROW(C$15),0)</f>
        <v>F</v>
      </c>
      <c r="D96" s="146" t="str">
        <f ca="1">OFFSET(ORÇAMENTO!N$15,ROW(D96)-ROW(D$15),0)</f>
        <v>Serviço</v>
      </c>
      <c r="E96" s="206" t="str">
        <f ca="1">OFFSET(ORÇAMENTO!O$15,ROW(E96)-ROW(E$15),0)</f>
        <v>1.9.3.</v>
      </c>
      <c r="F96" s="207" t="str">
        <f ca="1">OFFSET(ORÇAMENTO!R$15,ROW(F96)-ROW(F$15),0)</f>
        <v>TANQUE DE LOUÇA BRANCA SUSPENSO, 18L OU EQUIVALENTE - FORNECIMENTO E INSTALAÇÃO. AF_01/2020</v>
      </c>
      <c r="G96" s="208" t="str">
        <f ca="1">IF($D96&lt;&gt;"Serviço","",OFFSET(ORÇAMENTO!S$15,ROW(G96)-ROW(G$15),0))</f>
        <v>UN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1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10</v>
      </c>
      <c r="N96" s="212" t="str">
        <f ca="1">IF($D96&lt;&gt;"Serviço","",IF(AUTOEVENTO="Manual",IF($A96=0,"&lt;-- defina o número do agrupador",OFFSET(EVENTOS!$D$14,$A96,0)),OFFSET($F$15,$A96,0)))</f>
        <v>EQUIPAMENTOS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1000000000000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63.75" x14ac:dyDescent="0.2">
      <c r="A97" s="9" t="str">
        <f t="shared" ca="1" si="9"/>
        <v>78</v>
      </c>
      <c r="B97" s="9" t="str">
        <f ca="1">OFFSET(ORÇAMENTO!C$15,ROW(B97)-ROW(B$15),0)</f>
        <v>S</v>
      </c>
      <c r="C97" s="9" t="str">
        <f ca="1">OFFSET(ORÇAMENTO!L$15,ROW(C97)-ROW(C$15),0)</f>
        <v>F</v>
      </c>
      <c r="D97" s="146" t="str">
        <f ca="1">OFFSET(ORÇAMENTO!N$15,ROW(D97)-ROW(D$15),0)</f>
        <v>Serviço</v>
      </c>
      <c r="E97" s="206" t="str">
        <f ca="1">OFFSET(ORÇAMENTO!O$15,ROW(E97)-ROW(E$15),0)</f>
        <v>1.9.4.</v>
      </c>
      <c r="F97" s="207" t="str">
        <f ca="1">OFFSET(ORÇAMENTO!R$15,ROW(F97)-ROW(F$15),0)</f>
        <v>BANCADA DE MÁRMORE SINTÉTICO 120 X 60CM, COM CUBA INTEGRADA, INCLUSO SIFÃO TIPO FLEXÍVEL EM PVC, VÁLVULA EM PLÁSTICO CROMADO TIPO AMERICANA E TORNEIRA CROMADA LONGA, DE PAREDE, PADRÃO POPULAR - FORNECIMENTO E INSTALAÇÃO. AF_01/2020</v>
      </c>
      <c r="G97" s="208" t="str">
        <f ca="1">IF($D97&lt;&gt;"Serviço","",OFFSET(ORÇAMENTO!S$15,ROW(G97)-ROW(G$15),0))</f>
        <v>UN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2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10</v>
      </c>
      <c r="N97" s="212" t="str">
        <f ca="1">IF($D97&lt;&gt;"Serviço","",IF(AUTOEVENTO="Manual",IF($A97=0,"&lt;-- defina o número do agrupador",OFFSET(EVENTOS!$D$14,$A97,0)),OFFSET($F$15,$A97,0)))</f>
        <v>EQUIPAMENTOS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1000000000000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63.75" x14ac:dyDescent="0.2">
      <c r="A98" s="9" t="str">
        <f t="shared" ca="1" si="9"/>
        <v>78</v>
      </c>
      <c r="B98" s="9" t="str">
        <f ca="1">OFFSET(ORÇAMENTO!C$15,ROW(B98)-ROW(B$15),0)</f>
        <v>S</v>
      </c>
      <c r="C98" s="9" t="str">
        <f ca="1">OFFSET(ORÇAMENTO!L$15,ROW(C98)-ROW(C$15),0)</f>
        <v>F</v>
      </c>
      <c r="D98" s="146" t="str">
        <f ca="1">OFFSET(ORÇAMENTO!N$15,ROW(D98)-ROW(D$15),0)</f>
        <v>Serviço</v>
      </c>
      <c r="E98" s="206" t="str">
        <f ca="1">OFFSET(ORÇAMENTO!O$15,ROW(E98)-ROW(E$15),0)</f>
        <v>1.9.5.</v>
      </c>
      <c r="F98" s="207" t="str">
        <f ca="1">OFFSET(ORÇAMENTO!R$15,ROW(F98)-ROW(F$15),0)</f>
        <v>GUARDA-CORPO DE AÇO GALVANIZADO DE 1,10M DE ALTURA, MONTANTES TUBULARES DE 1.1/2 ESPAÇADOS DE 1,20M, TRAVESSA SUPERIOR DE 2, GRADIL FORMADO POR BARRAS CHATAS EM FERRO DE 32X4,8MM, FIXADO COM CHUMBADOR MECÂNICO. AF_04/2019_P</v>
      </c>
      <c r="G98" s="208" t="str">
        <f ca="1">IF($D98&lt;&gt;"Serviço","",OFFSET(ORÇAMENTO!S$15,ROW(G98)-ROW(G$15),0))</f>
        <v>M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7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10</v>
      </c>
      <c r="N98" s="212" t="str">
        <f ca="1">IF($D98&lt;&gt;"Serviço","",IF(AUTOEVENTO="Manual",IF($A98=0,"&lt;-- defina o número do agrupador",OFFSET(EVENTOS!$D$14,$A98,0)),OFFSET($F$15,$A98,0)))</f>
        <v>EQUIPAMENTOS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1000000000000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78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10</v>
      </c>
      <c r="N99" s="212" t="str">
        <f ca="1">IF($D99&lt;&gt;"Serviço","",IF(AUTOEVENTO="Manual",IF($A99=0,"&lt;-- defina o número do agrupador",OFFSET(EVENTOS!$D$14,$A99,0)),OFFSET($F$15,$A99,0)))</f>
        <v>EQUIPAMENTOS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1000000000000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78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10</v>
      </c>
      <c r="N100" s="212" t="str">
        <f ca="1">IF($D100&lt;&gt;"Serviço","",IF(AUTOEVENTO="Manual",IF($A100=0,"&lt;-- defina o número do agrupador",OFFSET(EVENTOS!$D$14,$A100,0)),OFFSET($F$15,$A100,0)))</f>
        <v>EQUIPAMENTOS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1000000000000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86.</v>
      </c>
      <c r="B101" s="9">
        <f ca="1">OFFSET(ORÇAMENTO!C$15,ROW(B101)-ROW(B$15),0)</f>
        <v>2</v>
      </c>
      <c r="C101" s="9" t="str">
        <f ca="1">OFFSET(ORÇAMENTO!L$15,ROW(C101)-ROW(C$15),0)</f>
        <v>F</v>
      </c>
      <c r="D101" s="146" t="str">
        <f ca="1">OFFSET(ORÇAMENTO!N$15,ROW(D101)-ROW(D$15),0)</f>
        <v>Nível 2</v>
      </c>
      <c r="E101" s="206" t="str">
        <f ca="1">OFFSET(ORÇAMENTO!O$15,ROW(E101)-ROW(E$15),0)</f>
        <v>1.10.</v>
      </c>
      <c r="F101" s="207" t="str">
        <f ca="1">OFFSET(ORÇAMENTO!R$15,ROW(F101)-ROW(F$15),0)</f>
        <v>ESQUADRIAS</v>
      </c>
      <c r="G101" s="208" t="str">
        <f ca="1">IF($D101&lt;&gt;"Serviço","",OFFSET(ORÇAMENTO!S$15,ROW(G101)-ROW(G$15),0))</f>
        <v/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 t="str">
        <f ca="1">IF($D101&lt;&gt;"Serviço","",IF(AUTOEVENTO="manual",$A101,IF(ISERROR(MATCH($A101,$A$15:OFFSET($A101,-1,0),0)),MAX($M$15:OFFSET(M101,-1,0))+1,INDEX($M$15:OFFSET(M101,-1,0),MATCH($A101,$A$15:OFFSET($A101,-1,0),0)))))</f>
        <v/>
      </c>
      <c r="N101" s="212" t="str">
        <f ca="1">IF($D101&lt;&gt;"Serviço","",IF(AUTOEVENTO="Manual",IF($A101=0,"&lt;-- defina o número do agrupador",OFFSET(EVENTOS!$D$14,$A101,0)),OFFSET($F$15,$A101,0)))</f>
        <v/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0</v>
      </c>
      <c r="AN101" s="216">
        <f ca="1">IF($D101&lt;&gt;"Serviço",0,IF(AND(AUTOEVENTO="Manual",$M101=1),0,IF(OFFSET(CRONOPLE!$F$14,$M101,AN$13)="",10^12,OFFSET(CRONOPLE!$F$14,$M101,AN$13))))</f>
        <v>0</v>
      </c>
      <c r="AO101" s="216">
        <f ca="1">IF($D101&lt;&gt;"Serviço",0,IF(AND(AUTOEVENTO="Manual",$M101=1),0,IF(OFFSET(CRONOPLE!$F$14,$M101,AO$13)="",10^12,OFFSET(CRONOPLE!$F$14,$M101,AO$13))))</f>
        <v>0</v>
      </c>
      <c r="AP101" s="216">
        <f ca="1">IF($D101&lt;&gt;"Serviço",0,IF(AND(AUTOEVENTO="Manual",$M101=1),0,IF(OFFSET(CRONOPLE!$F$14,$M101,AP$13)="",10^12,OFFSET(CRONOPLE!$F$14,$M101,AP$13))))</f>
        <v>0</v>
      </c>
      <c r="AQ101" s="216">
        <f ca="1">IF($D101&lt;&gt;"Serviço",0,IF(AND(AUTOEVENTO="Manual",$M101=1),0,IF(OFFSET(CRONOPLE!$F$14,$M101,AQ$13)="",10^12,OFFSET(CRONOPLE!$F$14,$M101,AQ$13))))</f>
        <v>0</v>
      </c>
      <c r="AR101" s="216">
        <f ca="1">IF($D101&lt;&gt;"Serviço",0,IF(AND(AUTOEVENTO="Manual",$M101=1),0,IF(OFFSET(CRONOPLE!$F$14,$M101,AR$13)="",10^12,OFFSET(CRONOPLE!$F$14,$M101,AR$13))))</f>
        <v>0</v>
      </c>
      <c r="AS101" s="216">
        <f ca="1">IF($D101&lt;&gt;"Serviço",0,IF(AND(AUTOEVENTO="Manual",$M101=1),0,IF(OFFSET(CRONOPLE!$F$14,$M101,AS$13)="",10^12,OFFSET(CRONOPLE!$F$14,$M101,AS$13))))</f>
        <v>0</v>
      </c>
      <c r="AT101" s="216">
        <f ca="1">IF($D101&lt;&gt;"Serviço",0,IF(AND(AUTOEVENTO="Manual",$M101=1),0,IF(OFFSET(CRONOPLE!$F$14,$M101,AT$13)="",10^12,OFFSET(CRONOPLE!$F$14,$M101,AT$13))))</f>
        <v>0</v>
      </c>
      <c r="AU101" s="216">
        <f ca="1">IF($D101&lt;&gt;"Serviço",0,IF(AND(AUTOEVENTO="Manual",$M101=1),0,IF(OFFSET(CRONOPLE!$F$14,$M101,AU$13)="",10^12,OFFSET(CRONOPLE!$F$14,$M101,AU$13))))</f>
        <v>0</v>
      </c>
      <c r="AV101" s="216">
        <f ca="1">IF($D101&lt;&gt;"Serviço",0,IF(AND(AUTOEVENTO="Manual",$M101=1),0,IF(OFFSET(CRONOPLE!$F$14,$M101,AV$13)="",10^12,OFFSET(CRONOPLE!$F$14,$M101,AV$13))))</f>
        <v>0</v>
      </c>
      <c r="AX101" s="217">
        <f ca="1">IF($D101&lt;&gt;"Serviço",0,IF(OR(AND(AUTOEVENTO="Manual",$M101=1),$M101&gt;(ROW(PLE.lastrow)-ROW(PLE.firstrow))),0,IF(OFFSET(PLE!$G$14,$M101,AX$13)="",10^12,OFFSET(PLE!$G$14,$M101,AX$13))))</f>
        <v>0</v>
      </c>
      <c r="AY101" s="217">
        <f ca="1">IF($D101&lt;&gt;"Serviço",0,IF(OR(AND(AUTOEVENTO="Manual",$M101=1),$M101&gt;(ROW(PLE.lastrow)-ROW(PLE.firstrow))),0,IF(OFFSET(PLE!$G$14,$M101,AY$13)="",10^12,OFFSET(PLE!$G$14,$M101,AY$13))))</f>
        <v>0</v>
      </c>
      <c r="AZ101" s="217">
        <f ca="1">IF($D101&lt;&gt;"Serviço",0,IF(OR(AND(AUTOEVENTO="Manual",$M101=1),$M101&gt;(ROW(PLE.lastrow)-ROW(PLE.firstrow))),0,IF(OFFSET(PLE!$G$14,$M101,AZ$13)="",10^12,OFFSET(PLE!$G$14,$M101,AZ$13))))</f>
        <v>0</v>
      </c>
      <c r="BA101" s="217">
        <f ca="1">IF($D101&lt;&gt;"Serviço",0,IF(OR(AND(AUTOEVENTO="Manual",$M101=1),$M101&gt;(ROW(PLE.lastrow)-ROW(PLE.firstrow))),0,IF(OFFSET(PLE!$G$14,$M101,BA$13)="",10^12,OFFSET(PLE!$G$14,$M101,BA$13))))</f>
        <v>0</v>
      </c>
      <c r="BB101" s="217">
        <f ca="1">IF($D101&lt;&gt;"Serviço",0,IF(OR(AND(AUTOEVENTO="Manual",$M101=1),$M101&gt;(ROW(PLE.lastrow)-ROW(PLE.firstrow))),0,IF(OFFSET(PLE!$G$14,$M101,BB$13)="",10^12,OFFSET(PLE!$G$14,$M101,BB$13))))</f>
        <v>0</v>
      </c>
      <c r="BC101" s="217">
        <f ca="1">IF($D101&lt;&gt;"Serviço",0,IF(OR(AND(AUTOEVENTO="Manual",$M101=1),$M101&gt;(ROW(PLE.lastrow)-ROW(PLE.firstrow))),0,IF(OFFSET(PLE!$G$14,$M101,BC$13)="",10^12,OFFSET(PLE!$G$14,$M101,BC$13))))</f>
        <v>0</v>
      </c>
      <c r="BD101" s="217">
        <f ca="1">IF($D101&lt;&gt;"Serviço",0,IF(OR(AND(AUTOEVENTO="Manual",$M101=1),$M101&gt;(ROW(PLE.lastrow)-ROW(PLE.firstrow))),0,IF(OFFSET(PLE!$G$14,$M101,BD$13)="",10^12,OFFSET(PLE!$G$14,$M101,BD$13))))</f>
        <v>0</v>
      </c>
      <c r="BE101" s="217">
        <f ca="1">IF($D101&lt;&gt;"Serviço",0,IF(OR(AND(AUTOEVENTO="Manual",$M101=1),$M101&gt;(ROW(PLE.lastrow)-ROW(PLE.firstrow))),0,IF(OFFSET(PLE!$G$14,$M101,BE$13)="",10^12,OFFSET(PLE!$G$14,$M101,BE$13))))</f>
        <v>0</v>
      </c>
      <c r="BF101" s="217">
        <f ca="1">IF($D101&lt;&gt;"Serviço",0,IF(OR(AND(AUTOEVENTO="Manual",$M101=1),$M101&gt;(ROW(PLE.lastrow)-ROW(PLE.firstrow))),0,IF(OFFSET(PLE!$G$14,$M101,BF$13)="",10^12,OFFSET(PLE!$G$14,$M101,BF$13))))</f>
        <v>0</v>
      </c>
      <c r="BG101" s="217">
        <f ca="1">IF($D101&lt;&gt;"Serviço",0,IF(OR(AND(AUTOEVENTO="Manual",$M101=1),$M101&gt;(ROW(PLE.lastrow)-ROW(PLE.firstrow))),0,IF(OFFSET(PLE!$G$14,$M101,BG$13)="",10^12,OFFSET(PLE!$G$14,$M101,BG$13))))</f>
        <v>0</v>
      </c>
    </row>
    <row r="102" spans="1:59" ht="63.75" x14ac:dyDescent="0.2">
      <c r="A102" s="9" t="str">
        <f t="shared" ca="1" si="9"/>
        <v>86</v>
      </c>
      <c r="B102" s="9" t="str">
        <f ca="1">OFFSET(ORÇAMENTO!C$15,ROW(B102)-ROW(B$15),0)</f>
        <v>S</v>
      </c>
      <c r="C102" s="9" t="str">
        <f ca="1">OFFSET(ORÇAMENTO!L$15,ROW(C102)-ROW(C$15),0)</f>
        <v>F</v>
      </c>
      <c r="D102" s="146" t="str">
        <f ca="1">OFFSET(ORÇAMENTO!N$15,ROW(D102)-ROW(D$15),0)</f>
        <v>Serviço</v>
      </c>
      <c r="E102" s="206" t="str">
        <f ca="1">OFFSET(ORÇAMENTO!O$15,ROW(E102)-ROW(E$15),0)</f>
        <v>1.10.1.</v>
      </c>
      <c r="F102" s="207" t="str">
        <f ca="1">OFFSET(ORÇAMENTO!R$15,ROW(F102)-ROW(F$15),0)</f>
        <v>KIT DE PORTA DE MADEIRA FRISADA, SEMI-OCA (LEVE OU MÉDIA), PADRÃO MÉDIO, 80X210CM, ESPESSURA DE 3,5CM, ITENS INCLUSOS: DOBRADIÇAS, MONTAGEM E INSTALAÇÃO DE BATENTE, FECHADURA COM EXECUÇÃO DO FURO - FORNECIMENTO E INSTALAÇÃO. AF_12/2019</v>
      </c>
      <c r="G102" s="208" t="str">
        <f ca="1">IF($D102&lt;&gt;"Serviço","",OFFSET(ORÇAMENTO!S$15,ROW(G102)-ROW(G$15),0))</f>
        <v>UN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7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11</v>
      </c>
      <c r="N102" s="212" t="str">
        <f ca="1">IF($D102&lt;&gt;"Serviço","",IF(AUTOEVENTO="Manual",IF($A102=0,"&lt;-- defina o número do agrupador",OFFSET(EVENTOS!$D$14,$A102,0)),OFFSET($F$15,$A102,0)))</f>
        <v>ESQUADRIAS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1000000000000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51" x14ac:dyDescent="0.2">
      <c r="A103" s="9" t="str">
        <f t="shared" ca="1" si="9"/>
        <v>86</v>
      </c>
      <c r="B103" s="9" t="str">
        <f ca="1">OFFSET(ORÇAMENTO!C$15,ROW(B103)-ROW(B$15),0)</f>
        <v>S</v>
      </c>
      <c r="C103" s="9" t="str">
        <f ca="1">OFFSET(ORÇAMENTO!L$15,ROW(C103)-ROW(C$15),0)</f>
        <v>F</v>
      </c>
      <c r="D103" s="146" t="str">
        <f ca="1">OFFSET(ORÇAMENTO!N$15,ROW(D103)-ROW(D$15),0)</f>
        <v>Serviço</v>
      </c>
      <c r="E103" s="206" t="str">
        <f ca="1">OFFSET(ORÇAMENTO!O$15,ROW(E103)-ROW(E$15),0)</f>
        <v>1.10.2.</v>
      </c>
      <c r="F103" s="207" t="str">
        <f ca="1">OFFSET(ORÇAMENTO!R$15,ROW(F103)-ROW(F$15),0)</f>
        <v>JANELA DE ALUMÍNIO DE CORRER COM 2 FOLHAS PARA VIDROS, COM VIDROS, BATENTE, ACABAMENTO COM ACETATO OU BRILHANTE E FERRAGENS. EXCLUSIVE ALIZAR E CONTRAMARCO. FORNECIMENTO E INSTALAÇÃO. AF_12/2019</v>
      </c>
      <c r="G103" s="208" t="str">
        <f ca="1">IF($D103&lt;&gt;"Serviço","",OFFSET(ORÇAMENTO!S$15,ROW(G103)-ROW(G$15),0))</f>
        <v>M2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13.76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11</v>
      </c>
      <c r="N103" s="212" t="str">
        <f ca="1">IF($D103&lt;&gt;"Serviço","",IF(AUTOEVENTO="Manual",IF($A103=0,"&lt;-- defina o número do agrupador",OFFSET(EVENTOS!$D$14,$A103,0)),OFFSET($F$15,$A103,0)))</f>
        <v>ESQUADRIAS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1000000000000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38.25" x14ac:dyDescent="0.2">
      <c r="A104" s="9" t="str">
        <f t="shared" ca="1" si="9"/>
        <v>86</v>
      </c>
      <c r="B104" s="9" t="str">
        <f ca="1">OFFSET(ORÇAMENTO!C$15,ROW(B104)-ROW(B$15),0)</f>
        <v>S</v>
      </c>
      <c r="C104" s="9" t="str">
        <f ca="1">OFFSET(ORÇAMENTO!L$15,ROW(C104)-ROW(C$15),0)</f>
        <v>F</v>
      </c>
      <c r="D104" s="146" t="str">
        <f ca="1">OFFSET(ORÇAMENTO!N$15,ROW(D104)-ROW(D$15),0)</f>
        <v>Serviço</v>
      </c>
      <c r="E104" s="206" t="str">
        <f ca="1">OFFSET(ORÇAMENTO!O$15,ROW(E104)-ROW(E$15),0)</f>
        <v>1.10.3.</v>
      </c>
      <c r="F104" s="207" t="str">
        <f ca="1">OFFSET(ORÇAMENTO!R$15,ROW(F104)-ROW(F$15),0)</f>
        <v>PORTAO DE CORRER EM GRADIL FIXO DE BARRA DE FERRO CHATA DE 3 X 1/4" NA VERTICAL, SEM REQUADRO, ACABAMENTO NATURAL, COM TRILHOS E ROLDANAS</v>
      </c>
      <c r="G104" s="208" t="str">
        <f ca="1">IF($D104&lt;&gt;"Serviço","",OFFSET(ORÇAMENTO!S$15,ROW(G104)-ROW(G$15),0))</f>
        <v xml:space="preserve">M2    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1.89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11</v>
      </c>
      <c r="N104" s="212" t="str">
        <f ca="1">IF($D104&lt;&gt;"Serviço","",IF(AUTOEVENTO="Manual",IF($A104=0,"&lt;-- defina o número do agrupador",OFFSET(EVENTOS!$D$14,$A104,0)),OFFSET($F$15,$A104,0)))</f>
        <v>ESQUADRIAS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1000000000000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38.25" x14ac:dyDescent="0.2">
      <c r="A105" s="9" t="str">
        <f t="shared" ca="1" si="9"/>
        <v>86</v>
      </c>
      <c r="B105" s="9" t="str">
        <f ca="1">OFFSET(ORÇAMENTO!C$15,ROW(B105)-ROW(B$15),0)</f>
        <v>S</v>
      </c>
      <c r="C105" s="9" t="str">
        <f ca="1">OFFSET(ORÇAMENTO!L$15,ROW(C105)-ROW(C$15),0)</f>
        <v>F</v>
      </c>
      <c r="D105" s="146" t="str">
        <f ca="1">OFFSET(ORÇAMENTO!N$15,ROW(D105)-ROW(D$15),0)</f>
        <v>Serviço</v>
      </c>
      <c r="E105" s="206" t="str">
        <f ca="1">OFFSET(ORÇAMENTO!O$15,ROW(E105)-ROW(E$15),0)</f>
        <v>1.10.4.</v>
      </c>
      <c r="F105" s="207" t="str">
        <f ca="1">OFFSET(ORÇAMENTO!R$15,ROW(F105)-ROW(F$15),0)</f>
        <v>PORTA EM ALUMÍNIO DE ABRIR TIPO VENEZIANA COM GUARNIÇÃO, FIXAÇÃO COM PARAFUSOS - FORNECIMENTO E INSTALAÇÃO. AF_12/2019</v>
      </c>
      <c r="G105" s="208" t="str">
        <f ca="1">IF($D105&lt;&gt;"Serviço","",OFFSET(ORÇAMENTO!S$15,ROW(G105)-ROW(G$15),0))</f>
        <v>M2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7.14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11</v>
      </c>
      <c r="N105" s="212" t="str">
        <f ca="1">IF($D105&lt;&gt;"Serviço","",IF(AUTOEVENTO="Manual",IF($A105=0,"&lt;-- defina o número do agrupador",OFFSET(EVENTOS!$D$14,$A105,0)),OFFSET($F$15,$A105,0)))</f>
        <v>ESQUADRIAS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1000000000000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86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11</v>
      </c>
      <c r="N106" s="212" t="str">
        <f ca="1">IF($D106&lt;&gt;"Serviço","",IF(AUTOEVENTO="Manual",IF($A106=0,"&lt;-- defina o número do agrupador",OFFSET(EVENTOS!$D$14,$A106,0)),OFFSET($F$15,$A106,0)))</f>
        <v>ESQUADRIAS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1000000000000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86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11</v>
      </c>
      <c r="N107" s="212" t="str">
        <f ca="1">IF($D107&lt;&gt;"Serviço","",IF(AUTOEVENTO="Manual",IF($A107=0,"&lt;-- defina o número do agrupador",OFFSET(EVENTOS!$D$14,$A107,0)),OFFSET($F$15,$A107,0)))</f>
        <v>ESQUADRIAS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1000000000000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86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11</v>
      </c>
      <c r="N108" s="212" t="str">
        <f ca="1">IF($D108&lt;&gt;"Serviço","",IF(AUTOEVENTO="Manual",IF($A108=0,"&lt;-- defina o número do agrupador",OFFSET(EVENTOS!$D$14,$A108,0)),OFFSET($F$15,$A108,0)))</f>
        <v>ESQUADRIAS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1000000000000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86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11</v>
      </c>
      <c r="N109" s="212" t="str">
        <f ca="1">IF($D109&lt;&gt;"Serviço","",IF(AUTOEVENTO="Manual",IF($A109=0,"&lt;-- defina o número do agrupador",OFFSET(EVENTOS!$D$14,$A109,0)),OFFSET($F$15,$A109,0)))</f>
        <v>ESQUADRIAS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1000000000000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86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11</v>
      </c>
      <c r="N110" s="212" t="str">
        <f ca="1">IF($D110&lt;&gt;"Serviço","",IF(AUTOEVENTO="Manual",IF($A110=0,"&lt;-- defina o número do agrupador",OFFSET(EVENTOS!$D$14,$A110,0)),OFFSET($F$15,$A110,0)))</f>
        <v>ESQUADRIAS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1000000000000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86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11</v>
      </c>
      <c r="N111" s="212" t="str">
        <f ca="1">IF($D111&lt;&gt;"Serviço","",IF(AUTOEVENTO="Manual",IF($A111=0,"&lt;-- defina o número do agrupador",OFFSET(EVENTOS!$D$14,$A111,0)),OFFSET($F$15,$A111,0)))</f>
        <v>ESQUADRIAS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1000000000000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86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11</v>
      </c>
      <c r="N112" s="212" t="str">
        <f ca="1">IF($D112&lt;&gt;"Serviço","",IF(AUTOEVENTO="Manual",IF($A112=0,"&lt;-- defina o número do agrupador",OFFSET(EVENTOS!$D$14,$A112,0)),OFFSET($F$15,$A112,0)))</f>
        <v>ESQUADRIAS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1000000000000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86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11</v>
      </c>
      <c r="N113" s="212" t="str">
        <f ca="1">IF($D113&lt;&gt;"Serviço","",IF(AUTOEVENTO="Manual",IF($A113=0,"&lt;-- defina o número do agrupador",OFFSET(EVENTOS!$D$14,$A113,0)),OFFSET($F$15,$A113,0)))</f>
        <v>ESQUADRIAS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1000000000000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86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11</v>
      </c>
      <c r="N114" s="212" t="str">
        <f ca="1">IF($D114&lt;&gt;"Serviço","",IF(AUTOEVENTO="Manual",IF($A114=0,"&lt;-- defina o número do agrupador",OFFSET(EVENTOS!$D$14,$A114,0)),OFFSET($F$15,$A114,0)))</f>
        <v>ESQUADRIAS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1000000000000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86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11</v>
      </c>
      <c r="N115" s="212" t="str">
        <f ca="1">IF($D115&lt;&gt;"Serviço","",IF(AUTOEVENTO="Manual",IF($A115=0,"&lt;-- defina o número do agrupador",OFFSET(EVENTOS!$D$14,$A115,0)),OFFSET($F$15,$A115,0)))</f>
        <v>ESQUADRIAS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1000000000000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86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11</v>
      </c>
      <c r="N116" s="212" t="str">
        <f ca="1">IF($D116&lt;&gt;"Serviço","",IF(AUTOEVENTO="Manual",IF($A116=0,"&lt;-- defina o número do agrupador",OFFSET(EVENTOS!$D$14,$A116,0)),OFFSET($F$15,$A116,0)))</f>
        <v>ESQUADRIAS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1000000000000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86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11</v>
      </c>
      <c r="N117" s="212" t="str">
        <f ca="1">IF($D117&lt;&gt;"Serviço","",IF(AUTOEVENTO="Manual",IF($A117=0,"&lt;-- defina o número do agrupador",OFFSET(EVENTOS!$D$14,$A117,0)),OFFSET($F$15,$A117,0)))</f>
        <v>ESQUADRIAS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1000000000000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103.</v>
      </c>
      <c r="B118" s="9">
        <f ca="1">OFFSET(ORÇAMENTO!C$15,ROW(B118)-ROW(B$15),0)</f>
        <v>2</v>
      </c>
      <c r="C118" s="9" t="str">
        <f ca="1">OFFSET(ORÇAMENTO!L$15,ROW(C118)-ROW(C$15),0)</f>
        <v>F</v>
      </c>
      <c r="D118" s="146" t="str">
        <f ca="1">OFFSET(ORÇAMENTO!N$15,ROW(D118)-ROW(D$15),0)</f>
        <v>Nível 2</v>
      </c>
      <c r="E118" s="206" t="str">
        <f ca="1">OFFSET(ORÇAMENTO!O$15,ROW(E118)-ROW(E$15),0)</f>
        <v>1.11.</v>
      </c>
      <c r="F118" s="207" t="str">
        <f ca="1">OFFSET(ORÇAMENTO!R$15,ROW(F118)-ROW(F$15),0)</f>
        <v>SERVIÇOS FINAIS</v>
      </c>
      <c r="G118" s="208" t="str">
        <f ca="1">IF($D118&lt;&gt;"Serviço","",OFFSET(ORÇAMENTO!S$15,ROW(G118)-ROW(G$15),0))</f>
        <v/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 t="str">
        <f ca="1">IF($D118&lt;&gt;"Serviço","",IF(AUTOEVENTO="manual",$A118,IF(ISERROR(MATCH($A118,$A$15:OFFSET($A118,-1,0),0)),MAX($M$15:OFFSET(M118,-1,0))+1,INDEX($M$15:OFFSET(M118,-1,0),MATCH($A118,$A$15:OFFSET($A118,-1,0),0)))))</f>
        <v/>
      </c>
      <c r="N118" s="212" t="str">
        <f ca="1">IF($D118&lt;&gt;"Serviço","",IF(AUTOEVENTO="Manual",IF($A118=0,"&lt;-- defina o número do agrupador",OFFSET(EVENTOS!$D$14,$A118,0)),OFFSET($F$15,$A118,0)))</f>
        <v/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0</v>
      </c>
      <c r="AN118" s="216">
        <f ca="1">IF($D118&lt;&gt;"Serviço",0,IF(AND(AUTOEVENTO="Manual",$M118=1),0,IF(OFFSET(CRONOPLE!$F$14,$M118,AN$13)="",10^12,OFFSET(CRONOPLE!$F$14,$M118,AN$13))))</f>
        <v>0</v>
      </c>
      <c r="AO118" s="216">
        <f ca="1">IF($D118&lt;&gt;"Serviço",0,IF(AND(AUTOEVENTO="Manual",$M118=1),0,IF(OFFSET(CRONOPLE!$F$14,$M118,AO$13)="",10^12,OFFSET(CRONOPLE!$F$14,$M118,AO$13))))</f>
        <v>0</v>
      </c>
      <c r="AP118" s="216">
        <f ca="1">IF($D118&lt;&gt;"Serviço",0,IF(AND(AUTOEVENTO="Manual",$M118=1),0,IF(OFFSET(CRONOPLE!$F$14,$M118,AP$13)="",10^12,OFFSET(CRONOPLE!$F$14,$M118,AP$13))))</f>
        <v>0</v>
      </c>
      <c r="AQ118" s="216">
        <f ca="1">IF($D118&lt;&gt;"Serviço",0,IF(AND(AUTOEVENTO="Manual",$M118=1),0,IF(OFFSET(CRONOPLE!$F$14,$M118,AQ$13)="",10^12,OFFSET(CRONOPLE!$F$14,$M118,AQ$13))))</f>
        <v>0</v>
      </c>
      <c r="AR118" s="216">
        <f ca="1">IF($D118&lt;&gt;"Serviço",0,IF(AND(AUTOEVENTO="Manual",$M118=1),0,IF(OFFSET(CRONOPLE!$F$14,$M118,AR$13)="",10^12,OFFSET(CRONOPLE!$F$14,$M118,AR$13))))</f>
        <v>0</v>
      </c>
      <c r="AS118" s="216">
        <f ca="1">IF($D118&lt;&gt;"Serviço",0,IF(AND(AUTOEVENTO="Manual",$M118=1),0,IF(OFFSET(CRONOPLE!$F$14,$M118,AS$13)="",10^12,OFFSET(CRONOPLE!$F$14,$M118,AS$13))))</f>
        <v>0</v>
      </c>
      <c r="AT118" s="216">
        <f ca="1">IF($D118&lt;&gt;"Serviço",0,IF(AND(AUTOEVENTO="Manual",$M118=1),0,IF(OFFSET(CRONOPLE!$F$14,$M118,AT$13)="",10^12,OFFSET(CRONOPLE!$F$14,$M118,AT$13))))</f>
        <v>0</v>
      </c>
      <c r="AU118" s="216">
        <f ca="1">IF($D118&lt;&gt;"Serviço",0,IF(AND(AUTOEVENTO="Manual",$M118=1),0,IF(OFFSET(CRONOPLE!$F$14,$M118,AU$13)="",10^12,OFFSET(CRONOPLE!$F$14,$M118,AU$13))))</f>
        <v>0</v>
      </c>
      <c r="AV118" s="216">
        <f ca="1">IF($D118&lt;&gt;"Serviço",0,IF(AND(AUTOEVENTO="Manual",$M118=1),0,IF(OFFSET(CRONOPLE!$F$14,$M118,AV$13)="",10^12,OFFSET(CRONOPLE!$F$14,$M118,AV$13))))</f>
        <v>0</v>
      </c>
      <c r="AX118" s="217">
        <f ca="1">IF($D118&lt;&gt;"Serviço",0,IF(OR(AND(AUTOEVENTO="Manual",$M118=1),$M118&gt;(ROW(PLE.lastrow)-ROW(PLE.firstrow))),0,IF(OFFSET(PLE!$G$14,$M118,AX$13)="",10^12,OFFSET(PLE!$G$14,$M118,AX$13))))</f>
        <v>0</v>
      </c>
      <c r="AY118" s="217">
        <f ca="1">IF($D118&lt;&gt;"Serviço",0,IF(OR(AND(AUTOEVENTO="Manual",$M118=1),$M118&gt;(ROW(PLE.lastrow)-ROW(PLE.firstrow))),0,IF(OFFSET(PLE!$G$14,$M118,AY$13)="",10^12,OFFSET(PLE!$G$14,$M118,AY$13))))</f>
        <v>0</v>
      </c>
      <c r="AZ118" s="217">
        <f ca="1">IF($D118&lt;&gt;"Serviço",0,IF(OR(AND(AUTOEVENTO="Manual",$M118=1),$M118&gt;(ROW(PLE.lastrow)-ROW(PLE.firstrow))),0,IF(OFFSET(PLE!$G$14,$M118,AZ$13)="",10^12,OFFSET(PLE!$G$14,$M118,AZ$13))))</f>
        <v>0</v>
      </c>
      <c r="BA118" s="217">
        <f ca="1">IF($D118&lt;&gt;"Serviço",0,IF(OR(AND(AUTOEVENTO="Manual",$M118=1),$M118&gt;(ROW(PLE.lastrow)-ROW(PLE.firstrow))),0,IF(OFFSET(PLE!$G$14,$M118,BA$13)="",10^12,OFFSET(PLE!$G$14,$M118,BA$13))))</f>
        <v>0</v>
      </c>
      <c r="BB118" s="217">
        <f ca="1">IF($D118&lt;&gt;"Serviço",0,IF(OR(AND(AUTOEVENTO="Manual",$M118=1),$M118&gt;(ROW(PLE.lastrow)-ROW(PLE.firstrow))),0,IF(OFFSET(PLE!$G$14,$M118,BB$13)="",10^12,OFFSET(PLE!$G$14,$M118,BB$13))))</f>
        <v>0</v>
      </c>
      <c r="BC118" s="217">
        <f ca="1">IF($D118&lt;&gt;"Serviço",0,IF(OR(AND(AUTOEVENTO="Manual",$M118=1),$M118&gt;(ROW(PLE.lastrow)-ROW(PLE.firstrow))),0,IF(OFFSET(PLE!$G$14,$M118,BC$13)="",10^12,OFFSET(PLE!$G$14,$M118,BC$13))))</f>
        <v>0</v>
      </c>
      <c r="BD118" s="217">
        <f ca="1">IF($D118&lt;&gt;"Serviço",0,IF(OR(AND(AUTOEVENTO="Manual",$M118=1),$M118&gt;(ROW(PLE.lastrow)-ROW(PLE.firstrow))),0,IF(OFFSET(PLE!$G$14,$M118,BD$13)="",10^12,OFFSET(PLE!$G$14,$M118,BD$13))))</f>
        <v>0</v>
      </c>
      <c r="BE118" s="217">
        <f ca="1">IF($D118&lt;&gt;"Serviço",0,IF(OR(AND(AUTOEVENTO="Manual",$M118=1),$M118&gt;(ROW(PLE.lastrow)-ROW(PLE.firstrow))),0,IF(OFFSET(PLE!$G$14,$M118,BE$13)="",10^12,OFFSET(PLE!$G$14,$M118,BE$13))))</f>
        <v>0</v>
      </c>
      <c r="BF118" s="217">
        <f ca="1">IF($D118&lt;&gt;"Serviço",0,IF(OR(AND(AUTOEVENTO="Manual",$M118=1),$M118&gt;(ROW(PLE.lastrow)-ROW(PLE.firstrow))),0,IF(OFFSET(PLE!$G$14,$M118,BF$13)="",10^12,OFFSET(PLE!$G$14,$M118,BF$13))))</f>
        <v>0</v>
      </c>
      <c r="BG118" s="217">
        <f ca="1">IF($D118&lt;&gt;"Serviço",0,IF(OR(AND(AUTOEVENTO="Manual",$M118=1),$M118&gt;(ROW(PLE.lastrow)-ROW(PLE.firstrow))),0,IF(OFFSET(PLE!$G$14,$M118,BG$13)="",10^12,OFFSET(PLE!$G$14,$M118,BG$13))))</f>
        <v>0</v>
      </c>
    </row>
    <row r="119" spans="1:59" ht="12.75" x14ac:dyDescent="0.2">
      <c r="A119" s="9" t="str">
        <f t="shared" ca="1" si="9"/>
        <v>103</v>
      </c>
      <c r="B119" s="9" t="str">
        <f ca="1">OFFSET(ORÇAMENTO!C$15,ROW(B119)-ROW(B$15),0)</f>
        <v>S</v>
      </c>
      <c r="C119" s="9" t="str">
        <f ca="1">OFFSET(ORÇAMENTO!L$15,ROW(C119)-ROW(C$15),0)</f>
        <v>F</v>
      </c>
      <c r="D119" s="146" t="str">
        <f ca="1">OFFSET(ORÇAMENTO!N$15,ROW(D119)-ROW(D$15),0)</f>
        <v>Serviço</v>
      </c>
      <c r="E119" s="206" t="str">
        <f ca="1">OFFSET(ORÇAMENTO!O$15,ROW(E119)-ROW(E$15),0)</f>
        <v>1.11.1.</v>
      </c>
      <c r="F119" s="207" t="str">
        <f ca="1">OFFSET(ORÇAMENTO!R$15,ROW(F119)-ROW(F$15),0)</f>
        <v>LIMPEZA FINAL DE OBRA</v>
      </c>
      <c r="G119" s="208" t="str">
        <f ca="1">IF($D119&lt;&gt;"Serviço","",OFFSET(ORÇAMENTO!S$15,ROW(G119)-ROW(G$15),0))</f>
        <v>M²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110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12</v>
      </c>
      <c r="N119" s="212" t="str">
        <f ca="1">IF($D119&lt;&gt;"Serviço","",IF(AUTOEVENTO="Manual",IF($A119=0,"&lt;-- defina o número do agrupador",OFFSET(EVENTOS!$D$14,$A119,0)),OFFSET($F$15,$A119,0)))</f>
        <v>SERVIÇOS FINAIS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1000000000000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103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12</v>
      </c>
      <c r="N120" s="212" t="str">
        <f ca="1">IF($D120&lt;&gt;"Serviço","",IF(AUTOEVENTO="Manual",IF($A120=0,"&lt;-- defina o número do agrupador",OFFSET(EVENTOS!$D$14,$A120,0)),OFFSET($F$15,$A120,0)))</f>
        <v>SERVIÇOS FINAIS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1000000000000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103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12</v>
      </c>
      <c r="N121" s="212" t="str">
        <f ca="1">IF($D121&lt;&gt;"Serviço","",IF(AUTOEVENTO="Manual",IF($A121=0,"&lt;-- defina o número do agrupador",OFFSET(EVENTOS!$D$14,$A121,0)),OFFSET($F$15,$A121,0)))</f>
        <v>SERVIÇOS FINAIS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1000000000000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103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12</v>
      </c>
      <c r="N122" s="212" t="str">
        <f ca="1">IF($D122&lt;&gt;"Serviço","",IF(AUTOEVENTO="Manual",IF($A122=0,"&lt;-- defina o número do agrupador",OFFSET(EVENTOS!$D$14,$A122,0)),OFFSET($F$15,$A122,0)))</f>
        <v>SERVIÇOS FINAIS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1000000000000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103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12</v>
      </c>
      <c r="N123" s="212" t="str">
        <f ca="1">IF($D123&lt;&gt;"Serviço","",IF(AUTOEVENTO="Manual",IF($A123=0,"&lt;-- defina o número do agrupador",OFFSET(EVENTOS!$D$14,$A123,0)),OFFSET($F$15,$A123,0)))</f>
        <v>SERVIÇOS FINAIS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1000000000000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103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12</v>
      </c>
      <c r="N124" s="212" t="str">
        <f ca="1">IF($D124&lt;&gt;"Serviço","",IF(AUTOEVENTO="Manual",IF($A124=0,"&lt;-- defina o número do agrupador",OFFSET(EVENTOS!$D$14,$A124,0)),OFFSET($F$15,$A124,0)))</f>
        <v>SERVIÇOS FINAIS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1000000000000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103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12</v>
      </c>
      <c r="N125" s="212" t="str">
        <f ca="1">IF($D125&lt;&gt;"Serviço","",IF(AUTOEVENTO="Manual",IF($A125=0,"&lt;-- defina o número do agrupador",OFFSET(EVENTOS!$D$14,$A125,0)),OFFSET($F$15,$A125,0)))</f>
        <v>SERVIÇOS FINAIS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1000000000000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103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12</v>
      </c>
      <c r="N126" s="212" t="str">
        <f ca="1">IF($D126&lt;&gt;"Serviço","",IF(AUTOEVENTO="Manual",IF($A126=0,"&lt;-- defina o número do agrupador",OFFSET(EVENTOS!$D$14,$A126,0)),OFFSET($F$15,$A126,0)))</f>
        <v>SERVIÇOS FINAIS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1000000000000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103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12</v>
      </c>
      <c r="N127" s="212" t="str">
        <f ca="1">IF($D127&lt;&gt;"Serviço","",IF(AUTOEVENTO="Manual",IF($A127=0,"&lt;-- defina o número do agrupador",OFFSET(EVENTOS!$D$14,$A127,0)),OFFSET($F$15,$A127,0)))</f>
        <v>SERVIÇOS FINAIS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1000000000000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103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12</v>
      </c>
      <c r="N128" s="212" t="str">
        <f ca="1">IF($D128&lt;&gt;"Serviço","",IF(AUTOEVENTO="Manual",IF($A128=0,"&lt;-- defina o número do agrupador",OFFSET(EVENTOS!$D$14,$A128,0)),OFFSET($F$15,$A128,0)))</f>
        <v>SERVIÇOS FINAIS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1000000000000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103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12</v>
      </c>
      <c r="N129" s="212" t="str">
        <f ca="1">IF($D129&lt;&gt;"Serviço","",IF(AUTOEVENTO="Manual",IF($A129=0,"&lt;-- defina o número do agrupador",OFFSET(EVENTOS!$D$14,$A129,0)),OFFSET($F$15,$A129,0)))</f>
        <v>SERVIÇOS FINAIS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1000000000000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103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12</v>
      </c>
      <c r="N130" s="212" t="str">
        <f ca="1">IF($D130&lt;&gt;"Serviço","",IF(AUTOEVENTO="Manual",IF($A130=0,"&lt;-- defina o número do agrupador",OFFSET(EVENTOS!$D$14,$A130,0)),OFFSET($F$15,$A130,0)))</f>
        <v>SERVIÇOS FINAIS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1000000000000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103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12</v>
      </c>
      <c r="N131" s="212" t="str">
        <f ca="1">IF($D131&lt;&gt;"Serviço","",IF(AUTOEVENTO="Manual",IF($A131=0,"&lt;-- defina o número do agrupador",OFFSET(EVENTOS!$D$14,$A131,0)),OFFSET($F$15,$A131,0)))</f>
        <v>SERVIÇOS FINAIS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1000000000000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103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12</v>
      </c>
      <c r="N132" s="212" t="str">
        <f ca="1">IF($D132&lt;&gt;"Serviço","",IF(AUTOEVENTO="Manual",IF($A132=0,"&lt;-- defina o número do agrupador",OFFSET(EVENTOS!$D$14,$A132,0)),OFFSET($F$15,$A132,0)))</f>
        <v>SERVIÇOS FINAIS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1000000000000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103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12</v>
      </c>
      <c r="N133" s="212" t="str">
        <f ca="1">IF($D133&lt;&gt;"Serviço","",IF(AUTOEVENTO="Manual",IF($A133=0,"&lt;-- defina o número do agrupador",OFFSET(EVENTOS!$D$14,$A133,0)),OFFSET($F$15,$A133,0)))</f>
        <v>SERVIÇOS FINAIS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1000000000000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103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12</v>
      </c>
      <c r="N134" s="212" t="str">
        <f ca="1">IF($D134&lt;&gt;"Serviço","",IF(AUTOEVENTO="Manual",IF($A134=0,"&lt;-- defina o número do agrupador",OFFSET(EVENTOS!$D$14,$A134,0)),OFFSET($F$15,$A134,0)))</f>
        <v>SERVIÇOS FINAIS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1000000000000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103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12</v>
      </c>
      <c r="N135" s="212" t="str">
        <f ca="1">IF($D135&lt;&gt;"Serviço","",IF(AUTOEVENTO="Manual",IF($A135=0,"&lt;-- defina o número do agrupador",OFFSET(EVENTOS!$D$14,$A135,0)),OFFSET($F$15,$A135,0)))</f>
        <v>SERVIÇOS FINAIS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1000000000000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103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12</v>
      </c>
      <c r="N136" s="212" t="str">
        <f ca="1">IF($D136&lt;&gt;"Serviço","",IF(AUTOEVENTO="Manual",IF($A136=0,"&lt;-- defina o número do agrupador",OFFSET(EVENTOS!$D$14,$A136,0)),OFFSET($F$15,$A136,0)))</f>
        <v>SERVIÇOS FINAIS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1000000000000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103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12</v>
      </c>
      <c r="N137" s="212" t="str">
        <f ca="1">IF($D137&lt;&gt;"Serviço","",IF(AUTOEVENTO="Manual",IF($A137=0,"&lt;-- defina o número do agrupador",OFFSET(EVENTOS!$D$14,$A137,0)),OFFSET($F$15,$A137,0)))</f>
        <v>SERVIÇOS FINAIS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1000000000000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103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12</v>
      </c>
      <c r="N138" s="212" t="str">
        <f ca="1">IF($D138&lt;&gt;"Serviço","",IF(AUTOEVENTO="Manual",IF($A138=0,"&lt;-- defina o número do agrupador",OFFSET(EVENTOS!$D$14,$A138,0)),OFFSET($F$15,$A138,0)))</f>
        <v>SERVIÇOS FINAIS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1000000000000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103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12</v>
      </c>
      <c r="N139" s="212" t="str">
        <f ca="1">IF($D139&lt;&gt;"Serviço","",IF(AUTOEVENTO="Manual",IF($A139=0,"&lt;-- defina o número do agrupador",OFFSET(EVENTOS!$D$14,$A139,0)),OFFSET($F$15,$A139,0)))</f>
        <v>SERVIÇOS FINAIS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1000000000000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103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12</v>
      </c>
      <c r="N140" s="212" t="str">
        <f ca="1">IF($D140&lt;&gt;"Serviço","",IF(AUTOEVENTO="Manual",IF($A140=0,"&lt;-- defina o número do agrupador",OFFSET(EVENTOS!$D$14,$A140,0)),OFFSET($F$15,$A140,0)))</f>
        <v>SERVIÇOS FINAIS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1000000000000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103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12</v>
      </c>
      <c r="N141" s="212" t="str">
        <f ca="1">IF($D141&lt;&gt;"Serviço","",IF(AUTOEVENTO="Manual",IF($A141=0,"&lt;-- defina o número do agrupador",OFFSET(EVENTOS!$D$14,$A141,0)),OFFSET($F$15,$A141,0)))</f>
        <v>SERVIÇOS FINAIS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1000000000000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103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12</v>
      </c>
      <c r="N142" s="212" t="str">
        <f ca="1">IF($D142&lt;&gt;"Serviço","",IF(AUTOEVENTO="Manual",IF($A142=0,"&lt;-- defina o número do agrupador",OFFSET(EVENTOS!$D$14,$A142,0)),OFFSET($F$15,$A142,0)))</f>
        <v>SERVIÇOS FINAIS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1000000000000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103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12</v>
      </c>
      <c r="N143" s="212" t="str">
        <f ca="1">IF($D143&lt;&gt;"Serviço","",IF(AUTOEVENTO="Manual",IF($A143=0,"&lt;-- defina o número do agrupador",OFFSET(EVENTOS!$D$14,$A143,0)),OFFSET($F$15,$A143,0)))</f>
        <v>SERVIÇOS FINAIS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1000000000000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103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12</v>
      </c>
      <c r="N144" s="212" t="str">
        <f ca="1">IF($D144&lt;&gt;"Serviço","",IF(AUTOEVENTO="Manual",IF($A144=0,"&lt;-- defina o número do agrupador",OFFSET(EVENTOS!$D$14,$A144,0)),OFFSET($F$15,$A144,0)))</f>
        <v>SERVIÇOS FINAIS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1000000000000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103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12</v>
      </c>
      <c r="N145" s="212" t="str">
        <f ca="1">IF($D145&lt;&gt;"Serviço","",IF(AUTOEVENTO="Manual",IF($A145=0,"&lt;-- defina o número do agrupador",OFFSET(EVENTOS!$D$14,$A145,0)),OFFSET($F$15,$A145,0)))</f>
        <v>SERVIÇOS FINAIS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1000000000000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103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12</v>
      </c>
      <c r="N146" s="212" t="str">
        <f ca="1">IF($D146&lt;&gt;"Serviço","",IF(AUTOEVENTO="Manual",IF($A146=0,"&lt;-- defina o número do agrupador",OFFSET(EVENTOS!$D$14,$A146,0)),OFFSET($F$15,$A146,0)))</f>
        <v>SERVIÇOS FINAIS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1000000000000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103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12</v>
      </c>
      <c r="N147" s="212" t="str">
        <f ca="1">IF($D147&lt;&gt;"Serviço","",IF(AUTOEVENTO="Manual",IF($A147=0,"&lt;-- defina o número do agrupador",OFFSET(EVENTOS!$D$14,$A147,0)),OFFSET($F$15,$A147,0)))</f>
        <v>SERVIÇOS FINAIS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1000000000000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103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12</v>
      </c>
      <c r="N148" s="212" t="str">
        <f ca="1">IF($D148&lt;&gt;"Serviço","",IF(AUTOEVENTO="Manual",IF($A148=0,"&lt;-- defina o número do agrupador",OFFSET(EVENTOS!$D$14,$A148,0)),OFFSET($F$15,$A148,0)))</f>
        <v>SERVIÇOS FINAIS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1000000000000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103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12</v>
      </c>
      <c r="N149" s="212" t="str">
        <f ca="1">IF($D149&lt;&gt;"Serviço","",IF(AUTOEVENTO="Manual",IF($A149=0,"&lt;-- defina o número do agrupador",OFFSET(EVENTOS!$D$14,$A149,0)),OFFSET($F$15,$A149,0)))</f>
        <v>SERVIÇOS FINAIS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1000000000000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103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12</v>
      </c>
      <c r="N150" s="212" t="str">
        <f ca="1">IF($D150&lt;&gt;"Serviço","",IF(AUTOEVENTO="Manual",IF($A150=0,"&lt;-- defina o número do agrupador",OFFSET(EVENTOS!$D$14,$A150,0)),OFFSET($F$15,$A150,0)))</f>
        <v>SERVIÇOS FINAIS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1000000000000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103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12</v>
      </c>
      <c r="N151" s="212" t="str">
        <f ca="1">IF($D151&lt;&gt;"Serviço","",IF(AUTOEVENTO="Manual",IF($A151=0,"&lt;-- defina o número do agrupador",OFFSET(EVENTOS!$D$14,$A151,0)),OFFSET($F$15,$A151,0)))</f>
        <v>SERVIÇOS FINAIS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1000000000000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103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12</v>
      </c>
      <c r="N152" s="212" t="str">
        <f ca="1">IF($D152&lt;&gt;"Serviço","",IF(AUTOEVENTO="Manual",IF($A152=0,"&lt;-- defina o número do agrupador",OFFSET(EVENTOS!$D$14,$A152,0)),OFFSET($F$15,$A152,0)))</f>
        <v>SERVIÇOS FINAIS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1000000000000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103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12</v>
      </c>
      <c r="N153" s="212" t="str">
        <f ca="1">IF($D153&lt;&gt;"Serviço","",IF(AUTOEVENTO="Manual",IF($A153=0,"&lt;-- defina o número do agrupador",OFFSET(EVENTOS!$D$14,$A153,0)),OFFSET($F$15,$A153,0)))</f>
        <v>SERVIÇOS FINAIS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1000000000000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103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12</v>
      </c>
      <c r="N154" s="212" t="str">
        <f ca="1">IF($D154&lt;&gt;"Serviço","",IF(AUTOEVENTO="Manual",IF($A154=0,"&lt;-- defina o número do agrupador",OFFSET(EVENTOS!$D$14,$A154,0)),OFFSET($F$15,$A154,0)))</f>
        <v>SERVIÇOS FINAIS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1000000000000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103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12</v>
      </c>
      <c r="N155" s="212" t="str">
        <f ca="1">IF($D155&lt;&gt;"Serviço","",IF(AUTOEVENTO="Manual",IF($A155=0,"&lt;-- defina o número do agrupador",OFFSET(EVENTOS!$D$14,$A155,0)),OFFSET($F$15,$A155,0)))</f>
        <v>SERVIÇOS FINAIS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1000000000000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103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12</v>
      </c>
      <c r="N156" s="212" t="str">
        <f ca="1">IF($D156&lt;&gt;"Serviço","",IF(AUTOEVENTO="Manual",IF($A156=0,"&lt;-- defina o número do agrupador",OFFSET(EVENTOS!$D$14,$A156,0)),OFFSET($F$15,$A156,0)))</f>
        <v>SERVIÇOS FINAIS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1000000000000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103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12</v>
      </c>
      <c r="N157" s="212" t="str">
        <f ca="1">IF($D157&lt;&gt;"Serviço","",IF(AUTOEVENTO="Manual",IF($A157=0,"&lt;-- defina o número do agrupador",OFFSET(EVENTOS!$D$14,$A157,0)),OFFSET($F$15,$A157,0)))</f>
        <v>SERVIÇOS FINAIS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1000000000000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103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12</v>
      </c>
      <c r="N158" s="212" t="str">
        <f ca="1">IF($D158&lt;&gt;"Serviço","",IF(AUTOEVENTO="Manual",IF($A158=0,"&lt;-- defina o número do agrupador",OFFSET(EVENTOS!$D$14,$A158,0)),OFFSET($F$15,$A158,0)))</f>
        <v>SERVIÇOS FINAIS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1000000000000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103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12</v>
      </c>
      <c r="N159" s="212" t="str">
        <f ca="1">IF($D159&lt;&gt;"Serviço","",IF(AUTOEVENTO="Manual",IF($A159=0,"&lt;-- defina o número do agrupador",OFFSET(EVENTOS!$D$14,$A159,0)),OFFSET($F$15,$A159,0)))</f>
        <v>SERVIÇOS FINAIS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1000000000000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103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12</v>
      </c>
      <c r="N160" s="212" t="str">
        <f ca="1">IF($D160&lt;&gt;"Serviço","",IF(AUTOEVENTO="Manual",IF($A160=0,"&lt;-- defina o número do agrupador",OFFSET(EVENTOS!$D$14,$A160,0)),OFFSET($F$15,$A160,0)))</f>
        <v>SERVIÇOS FINAIS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1000000000000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103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12</v>
      </c>
      <c r="N161" s="212" t="str">
        <f ca="1">IF($D161&lt;&gt;"Serviço","",IF(AUTOEVENTO="Manual",IF($A161=0,"&lt;-- defina o número do agrupador",OFFSET(EVENTOS!$D$14,$A161,0)),OFFSET($F$15,$A161,0)))</f>
        <v>SERVIÇOS FINAIS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1000000000000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103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12</v>
      </c>
      <c r="N162" s="212" t="str">
        <f ca="1">IF($D162&lt;&gt;"Serviço","",IF(AUTOEVENTO="Manual",IF($A162=0,"&lt;-- defina o número do agrupador",OFFSET(EVENTOS!$D$14,$A162,0)),OFFSET($F$15,$A162,0)))</f>
        <v>SERVIÇOS FINAIS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1000000000000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103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12</v>
      </c>
      <c r="N163" s="212" t="str">
        <f ca="1">IF($D163&lt;&gt;"Serviço","",IF(AUTOEVENTO="Manual",IF($A163=0,"&lt;-- defina o número do agrupador",OFFSET(EVENTOS!$D$14,$A163,0)),OFFSET($F$15,$A163,0)))</f>
        <v>SERVIÇOS FINAIS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1000000000000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103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12</v>
      </c>
      <c r="N164" s="212" t="str">
        <f ca="1">IF($D164&lt;&gt;"Serviço","",IF(AUTOEVENTO="Manual",IF($A164=0,"&lt;-- defina o número do agrupador",OFFSET(EVENTOS!$D$14,$A164,0)),OFFSET($F$15,$A164,0)))</f>
        <v>SERVIÇOS FINAIS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1000000000000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103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12</v>
      </c>
      <c r="N165" s="212" t="str">
        <f ca="1">IF($D165&lt;&gt;"Serviço","",IF(AUTOEVENTO="Manual",IF($A165=0,"&lt;-- defina o número do agrupador",OFFSET(EVENTOS!$D$14,$A165,0)),OFFSET($F$15,$A165,0)))</f>
        <v>SERVIÇOS FINAIS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1000000000000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103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12</v>
      </c>
      <c r="N166" s="212" t="str">
        <f ca="1">IF($D166&lt;&gt;"Serviço","",IF(AUTOEVENTO="Manual",IF($A166=0,"&lt;-- defina o número do agrupador",OFFSET(EVENTOS!$D$14,$A166,0)),OFFSET($F$15,$A166,0)))</f>
        <v>SERVIÇOS FINAIS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1000000000000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103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12</v>
      </c>
      <c r="N167" s="212" t="str">
        <f ca="1">IF($D167&lt;&gt;"Serviço","",IF(AUTOEVENTO="Manual",IF($A167=0,"&lt;-- defina o número do agrupador",OFFSET(EVENTOS!$D$14,$A167,0)),OFFSET($F$15,$A167,0)))</f>
        <v>SERVIÇOS FINAIS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1000000000000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103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12</v>
      </c>
      <c r="N168" s="212" t="str">
        <f ca="1">IF($D168&lt;&gt;"Serviço","",IF(AUTOEVENTO="Manual",IF($A168=0,"&lt;-- defina o número do agrupador",OFFSET(EVENTOS!$D$14,$A168,0)),OFFSET($F$15,$A168,0)))</f>
        <v>SERVIÇOS FINAIS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1000000000000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103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12</v>
      </c>
      <c r="N169" s="212" t="str">
        <f ca="1">IF($D169&lt;&gt;"Serviço","",IF(AUTOEVENTO="Manual",IF($A169=0,"&lt;-- defina o número do agrupador",OFFSET(EVENTOS!$D$14,$A169,0)),OFFSET($F$15,$A169,0)))</f>
        <v>SERVIÇOS FINAIS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1000000000000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103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12</v>
      </c>
      <c r="N170" s="212" t="str">
        <f ca="1">IF($D170&lt;&gt;"Serviço","",IF(AUTOEVENTO="Manual",IF($A170=0,"&lt;-- defina o número do agrupador",OFFSET(EVENTOS!$D$14,$A170,0)),OFFSET($F$15,$A170,0)))</f>
        <v>SERVIÇOS FINAIS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1000000000000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103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12</v>
      </c>
      <c r="N171" s="212" t="str">
        <f ca="1">IF($D171&lt;&gt;"Serviço","",IF(AUTOEVENTO="Manual",IF($A171=0,"&lt;-- defina o número do agrupador",OFFSET(EVENTOS!$D$14,$A171,0)),OFFSET($F$15,$A171,0)))</f>
        <v>SERVIÇOS FINAIS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1000000000000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103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12</v>
      </c>
      <c r="N172" s="212" t="str">
        <f ca="1">IF($D172&lt;&gt;"Serviço","",IF(AUTOEVENTO="Manual",IF($A172=0,"&lt;-- defina o número do agrupador",OFFSET(EVENTOS!$D$14,$A172,0)),OFFSET($F$15,$A172,0)))</f>
        <v>SERVIÇOS FINAIS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1000000000000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103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12</v>
      </c>
      <c r="N173" s="212" t="str">
        <f ca="1">IF($D173&lt;&gt;"Serviço","",IF(AUTOEVENTO="Manual",IF($A173=0,"&lt;-- defina o número do agrupador",OFFSET(EVENTOS!$D$14,$A173,0)),OFFSET($F$15,$A173,0)))</f>
        <v>SERVIÇOS FINAIS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1000000000000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103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12</v>
      </c>
      <c r="N174" s="212" t="str">
        <f ca="1">IF($D174&lt;&gt;"Serviço","",IF(AUTOEVENTO="Manual",IF($A174=0,"&lt;-- defina o número do agrupador",OFFSET(EVENTOS!$D$14,$A174,0)),OFFSET($F$15,$A174,0)))</f>
        <v>SERVIÇOS FINAIS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1000000000000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103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12</v>
      </c>
      <c r="N175" s="212" t="str">
        <f ca="1">IF($D175&lt;&gt;"Serviço","",IF(AUTOEVENTO="Manual",IF($A175=0,"&lt;-- defina o número do agrupador",OFFSET(EVENTOS!$D$14,$A175,0)),OFFSET($F$15,$A175,0)))</f>
        <v>SERVIÇOS FINAIS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1000000000000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103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12</v>
      </c>
      <c r="N176" s="212" t="str">
        <f ca="1">IF($D176&lt;&gt;"Serviço","",IF(AUTOEVENTO="Manual",IF($A176=0,"&lt;-- defina o número do agrupador",OFFSET(EVENTOS!$D$14,$A176,0)),OFFSET($F$15,$A176,0)))</f>
        <v>SERVIÇOS FINAIS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1000000000000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103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12</v>
      </c>
      <c r="N177" s="212" t="str">
        <f ca="1">IF($D177&lt;&gt;"Serviço","",IF(AUTOEVENTO="Manual",IF($A177=0,"&lt;-- defina o número do agrupador",OFFSET(EVENTOS!$D$14,$A177,0)),OFFSET($F$15,$A177,0)))</f>
        <v>SERVIÇOS FINAIS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1000000000000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103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12</v>
      </c>
      <c r="N178" s="212" t="str">
        <f ca="1">IF($D178&lt;&gt;"Serviço","",IF(AUTOEVENTO="Manual",IF($A178=0,"&lt;-- defina o número do agrupador",OFFSET(EVENTOS!$D$14,$A178,0)),OFFSET($F$15,$A178,0)))</f>
        <v>SERVIÇOS FINAIS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1000000000000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103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12</v>
      </c>
      <c r="N179" s="212" t="str">
        <f ca="1">IF($D179&lt;&gt;"Serviço","",IF(AUTOEVENTO="Manual",IF($A179=0,"&lt;-- defina o número do agrupador",OFFSET(EVENTOS!$D$14,$A179,0)),OFFSET($F$15,$A179,0)))</f>
        <v>SERVIÇOS FINAIS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1000000000000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103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12</v>
      </c>
      <c r="N180" s="212" t="str">
        <f ca="1">IF($D180&lt;&gt;"Serviço","",IF(AUTOEVENTO="Manual",IF($A180=0,"&lt;-- defina o número do agrupador",OFFSET(EVENTOS!$D$14,$A180,0)),OFFSET($F$15,$A180,0)))</f>
        <v>SERVIÇOS FINAIS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1000000000000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103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12</v>
      </c>
      <c r="N181" s="212" t="str">
        <f ca="1">IF($D181&lt;&gt;"Serviço","",IF(AUTOEVENTO="Manual",IF($A181=0,"&lt;-- defina o número do agrupador",OFFSET(EVENTOS!$D$14,$A181,0)),OFFSET($F$15,$A181,0)))</f>
        <v>SERVIÇOS FINAIS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1000000000000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103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12</v>
      </c>
      <c r="N182" s="212" t="str">
        <f ca="1">IF($D182&lt;&gt;"Serviço","",IF(AUTOEVENTO="Manual",IF($A182=0,"&lt;-- defina o número do agrupador",OFFSET(EVENTOS!$D$14,$A182,0)),OFFSET($F$15,$A182,0)))</f>
        <v>SERVIÇOS FINAIS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1000000000000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103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12</v>
      </c>
      <c r="N183" s="212" t="str">
        <f ca="1">IF($D183&lt;&gt;"Serviço","",IF(AUTOEVENTO="Manual",IF($A183=0,"&lt;-- defina o número do agrupador",OFFSET(EVENTOS!$D$14,$A183,0)),OFFSET($F$15,$A183,0)))</f>
        <v>SERVIÇOS FINAIS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1000000000000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103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12</v>
      </c>
      <c r="N184" s="212" t="str">
        <f ca="1">IF($D184&lt;&gt;"Serviço","",IF(AUTOEVENTO="Manual",IF($A184=0,"&lt;-- defina o número do agrupador",OFFSET(EVENTOS!$D$14,$A184,0)),OFFSET($F$15,$A184,0)))</f>
        <v>SERVIÇOS FINAIS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1000000000000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103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12</v>
      </c>
      <c r="N185" s="212" t="str">
        <f ca="1">IF($D185&lt;&gt;"Serviço","",IF(AUTOEVENTO="Manual",IF($A185=0,"&lt;-- defina o número do agrupador",OFFSET(EVENTOS!$D$14,$A185,0)),OFFSET($F$15,$A185,0)))</f>
        <v>SERVIÇOS FINAIS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1000000000000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103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12</v>
      </c>
      <c r="N186" s="212" t="str">
        <f ca="1">IF($D186&lt;&gt;"Serviço","",IF(AUTOEVENTO="Manual",IF($A186=0,"&lt;-- defina o número do agrupador",OFFSET(EVENTOS!$D$14,$A186,0)),OFFSET($F$15,$A186,0)))</f>
        <v>SERVIÇOS FINAIS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1000000000000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103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12</v>
      </c>
      <c r="N187" s="212" t="str">
        <f ca="1">IF($D187&lt;&gt;"Serviço","",IF(AUTOEVENTO="Manual",IF($A187=0,"&lt;-- defina o número do agrupador",OFFSET(EVENTOS!$D$14,$A187,0)),OFFSET($F$15,$A187,0)))</f>
        <v>SERVIÇOS FINAIS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1000000000000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103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12</v>
      </c>
      <c r="N188" s="212" t="str">
        <f ca="1">IF($D188&lt;&gt;"Serviço","",IF(AUTOEVENTO="Manual",IF($A188=0,"&lt;-- defina o número do agrupador",OFFSET(EVENTOS!$D$14,$A188,0)),OFFSET($F$15,$A188,0)))</f>
        <v>SERVIÇOS FINAIS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1000000000000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103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12</v>
      </c>
      <c r="N189" s="212" t="str">
        <f ca="1">IF($D189&lt;&gt;"Serviço","",IF(AUTOEVENTO="Manual",IF($A189=0,"&lt;-- defina o número do agrupador",OFFSET(EVENTOS!$D$14,$A189,0)),OFFSET($F$15,$A189,0)))</f>
        <v>SERVIÇOS FINAIS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1000000000000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103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12</v>
      </c>
      <c r="N190" s="212" t="str">
        <f ca="1">IF($D190&lt;&gt;"Serviço","",IF(AUTOEVENTO="Manual",IF($A190=0,"&lt;-- defina o número do agrupador",OFFSET(EVENTOS!$D$14,$A190,0)),OFFSET($F$15,$A190,0)))</f>
        <v>SERVIÇOS FINAIS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1000000000000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103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12</v>
      </c>
      <c r="N191" s="212" t="str">
        <f ca="1">IF($D191&lt;&gt;"Serviço","",IF(AUTOEVENTO="Manual",IF($A191=0,"&lt;-- defina o número do agrupador",OFFSET(EVENTOS!$D$14,$A191,0)),OFFSET($F$15,$A191,0)))</f>
        <v>SERVIÇOS FINAIS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1000000000000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103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12</v>
      </c>
      <c r="N192" s="212" t="str">
        <f ca="1">IF($D192&lt;&gt;"Serviço","",IF(AUTOEVENTO="Manual",IF($A192=0,"&lt;-- defina o número do agrupador",OFFSET(EVENTOS!$D$14,$A192,0)),OFFSET($F$15,$A192,0)))</f>
        <v>SERVIÇOS FINAIS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1000000000000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103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12</v>
      </c>
      <c r="N193" s="212" t="str">
        <f ca="1">IF($D193&lt;&gt;"Serviço","",IF(AUTOEVENTO="Manual",IF($A193=0,"&lt;-- defina o número do agrupador",OFFSET(EVENTOS!$D$14,$A193,0)),OFFSET($F$15,$A193,0)))</f>
        <v>SERVIÇOS FINAIS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1000000000000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103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12</v>
      </c>
      <c r="N194" s="212" t="str">
        <f ca="1">IF($D194&lt;&gt;"Serviço","",IF(AUTOEVENTO="Manual",IF($A194=0,"&lt;-- defina o número do agrupador",OFFSET(EVENTOS!$D$14,$A194,0)),OFFSET($F$15,$A194,0)))</f>
        <v>SERVIÇOS FINAIS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1000000000000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103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12</v>
      </c>
      <c r="N195" s="212" t="str">
        <f ca="1">IF($D195&lt;&gt;"Serviço","",IF(AUTOEVENTO="Manual",IF($A195=0,"&lt;-- defina o número do agrupador",OFFSET(EVENTOS!$D$14,$A195,0)),OFFSET($F$15,$A195,0)))</f>
        <v>SERVIÇOS FINAIS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1000000000000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103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12</v>
      </c>
      <c r="N196" s="212" t="str">
        <f ca="1">IF($D196&lt;&gt;"Serviço","",IF(AUTOEVENTO="Manual",IF($A196=0,"&lt;-- defina o número do agrupador",OFFSET(EVENTOS!$D$14,$A196,0)),OFFSET($F$15,$A196,0)))</f>
        <v>SERVIÇOS FINAIS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1000000000000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103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12</v>
      </c>
      <c r="N197" s="212" t="str">
        <f ca="1">IF($D197&lt;&gt;"Serviço","",IF(AUTOEVENTO="Manual",IF($A197=0,"&lt;-- defina o número do agrupador",OFFSET(EVENTOS!$D$14,$A197,0)),OFFSET($F$15,$A197,0)))</f>
        <v>SERVIÇOS FINAIS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1000000000000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103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12</v>
      </c>
      <c r="N198" s="212" t="str">
        <f ca="1">IF($D198&lt;&gt;"Serviço","",IF(AUTOEVENTO="Manual",IF($A198=0,"&lt;-- defina o número do agrupador",OFFSET(EVENTOS!$D$14,$A198,0)),OFFSET($F$15,$A198,0)))</f>
        <v>SERVIÇOS FINAIS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1000000000000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103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12</v>
      </c>
      <c r="N199" s="212" t="str">
        <f ca="1">IF($D199&lt;&gt;"Serviço","",IF(AUTOEVENTO="Manual",IF($A199=0,"&lt;-- defina o número do agrupador",OFFSET(EVENTOS!$D$14,$A199,0)),OFFSET($F$15,$A199,0)))</f>
        <v>SERVIÇOS FINAIS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1000000000000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103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12</v>
      </c>
      <c r="N200" s="212" t="str">
        <f ca="1">IF($D200&lt;&gt;"Serviço","",IF(AUTOEVENTO="Manual",IF($A200=0,"&lt;-- defina o número do agrupador",OFFSET(EVENTOS!$D$14,$A200,0)),OFFSET($F$15,$A200,0)))</f>
        <v>SERVIÇOS FINAIS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1000000000000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103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12</v>
      </c>
      <c r="N201" s="212" t="str">
        <f ca="1">IF($D201&lt;&gt;"Serviço","",IF(AUTOEVENTO="Manual",IF($A201=0,"&lt;-- defina o número do agrupador",OFFSET(EVENTOS!$D$14,$A201,0)),OFFSET($F$15,$A201,0)))</f>
        <v>SERVIÇOS FINAIS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1000000000000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103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12</v>
      </c>
      <c r="N202" s="212" t="str">
        <f ca="1">IF($D202&lt;&gt;"Serviço","",IF(AUTOEVENTO="Manual",IF($A202=0,"&lt;-- defina o número do agrupador",OFFSET(EVENTOS!$D$14,$A202,0)),OFFSET($F$15,$A202,0)))</f>
        <v>SERVIÇOS FINAIS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1000000000000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103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12</v>
      </c>
      <c r="N203" s="212" t="str">
        <f ca="1">IF($D203&lt;&gt;"Serviço","",IF(AUTOEVENTO="Manual",IF($A203=0,"&lt;-- defina o número do agrupador",OFFSET(EVENTOS!$D$14,$A203,0)),OFFSET($F$15,$A203,0)))</f>
        <v>SERVIÇOS FINAIS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1000000000000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103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12</v>
      </c>
      <c r="N204" s="212" t="str">
        <f ca="1">IF($D204&lt;&gt;"Serviço","",IF(AUTOEVENTO="Manual",IF($A204=0,"&lt;-- defina o número do agrupador",OFFSET(EVENTOS!$D$14,$A204,0)),OFFSET($F$15,$A204,0)))</f>
        <v>SERVIÇOS FINAIS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1000000000000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103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12</v>
      </c>
      <c r="N205" s="212" t="str">
        <f ca="1">IF($D205&lt;&gt;"Serviço","",IF(AUTOEVENTO="Manual",IF($A205=0,"&lt;-- defina o número do agrupador",OFFSET(EVENTOS!$D$14,$A205,0)),OFFSET($F$15,$A205,0)))</f>
        <v>SERVIÇOS FINAIS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1000000000000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103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12</v>
      </c>
      <c r="N206" s="212" t="str">
        <f ca="1">IF($D206&lt;&gt;"Serviço","",IF(AUTOEVENTO="Manual",IF($A206=0,"&lt;-- defina o número do agrupador",OFFSET(EVENTOS!$D$14,$A206,0)),OFFSET($F$15,$A206,0)))</f>
        <v>SERVIÇOS FINAIS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1000000000000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103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12</v>
      </c>
      <c r="N207" s="212" t="str">
        <f ca="1">IF($D207&lt;&gt;"Serviço","",IF(AUTOEVENTO="Manual",IF($A207=0,"&lt;-- defina o número do agrupador",OFFSET(EVENTOS!$D$14,$A207,0)),OFFSET($F$15,$A207,0)))</f>
        <v>SERVIÇOS FINAIS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1000000000000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103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12</v>
      </c>
      <c r="N208" s="212" t="str">
        <f ca="1">IF($D208&lt;&gt;"Serviço","",IF(AUTOEVENTO="Manual",IF($A208=0,"&lt;-- defina o número do agrupador",OFFSET(EVENTOS!$D$14,$A208,0)),OFFSET($F$15,$A208,0)))</f>
        <v>SERVIÇOS FINAIS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1000000000000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103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12</v>
      </c>
      <c r="N209" s="212" t="str">
        <f ca="1">IF($D209&lt;&gt;"Serviço","",IF(AUTOEVENTO="Manual",IF($A209=0,"&lt;-- defina o número do agrupador",OFFSET(EVENTOS!$D$14,$A209,0)),OFFSET($F$15,$A209,0)))</f>
        <v>SERVIÇOS FINAIS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1000000000000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103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12</v>
      </c>
      <c r="N210" s="212" t="str">
        <f ca="1">IF($D210&lt;&gt;"Serviço","",IF(AUTOEVENTO="Manual",IF($A210=0,"&lt;-- defina o número do agrupador",OFFSET(EVENTOS!$D$14,$A210,0)),OFFSET($F$15,$A210,0)))</f>
        <v>SERVIÇOS FINAIS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1000000000000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103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12</v>
      </c>
      <c r="N211" s="212" t="str">
        <f ca="1">IF($D211&lt;&gt;"Serviço","",IF(AUTOEVENTO="Manual",IF($A211=0,"&lt;-- defina o número do agrupador",OFFSET(EVENTOS!$D$14,$A211,0)),OFFSET($F$15,$A211,0)))</f>
        <v>SERVIÇOS FINAIS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1000000000000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103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12</v>
      </c>
      <c r="N212" s="212" t="str">
        <f ca="1">IF($D212&lt;&gt;"Serviço","",IF(AUTOEVENTO="Manual",IF($A212=0,"&lt;-- defina o número do agrupador",OFFSET(EVENTOS!$D$14,$A212,0)),OFFSET($F$15,$A212,0)))</f>
        <v>SERVIÇOS FINAIS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1000000000000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103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12</v>
      </c>
      <c r="N213" s="212" t="str">
        <f ca="1">IF($D213&lt;&gt;"Serviço","",IF(AUTOEVENTO="Manual",IF($A213=0,"&lt;-- defina o número do agrupador",OFFSET(EVENTOS!$D$14,$A213,0)),OFFSET($F$15,$A213,0)))</f>
        <v>SERVIÇOS FINAIS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1000000000000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103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12</v>
      </c>
      <c r="N214" s="212" t="str">
        <f ca="1">IF($D214&lt;&gt;"Serviço","",IF(AUTOEVENTO="Manual",IF($A214=0,"&lt;-- defina o número do agrupador",OFFSET(EVENTOS!$D$14,$A214,0)),OFFSET($F$15,$A214,0)))</f>
        <v>SERVIÇOS FINAIS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1000000000000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103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12</v>
      </c>
      <c r="N215" s="212" t="str">
        <f ca="1">IF($D215&lt;&gt;"Serviço","",IF(AUTOEVENTO="Manual",IF($A215=0,"&lt;-- defina o número do agrupador",OFFSET(EVENTOS!$D$14,$A215,0)),OFFSET($F$15,$A215,0)))</f>
        <v>SERVIÇOS FINAIS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1000000000000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103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12</v>
      </c>
      <c r="N216" s="212" t="str">
        <f ca="1">IF($D216&lt;&gt;"Serviço","",IF(AUTOEVENTO="Manual",IF($A216=0,"&lt;-- defina o número do agrupador",OFFSET(EVENTOS!$D$14,$A216,0)),OFFSET($F$15,$A216,0)))</f>
        <v>SERVIÇOS FINAIS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1000000000000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103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12</v>
      </c>
      <c r="N217" s="212" t="str">
        <f ca="1">IF($D217&lt;&gt;"Serviço","",IF(AUTOEVENTO="Manual",IF($A217=0,"&lt;-- defina o número do agrupador",OFFSET(EVENTOS!$D$14,$A217,0)),OFFSET($F$15,$A217,0)))</f>
        <v>SERVIÇOS FINAIS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1000000000000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103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12</v>
      </c>
      <c r="N218" s="212" t="str">
        <f ca="1">IF($D218&lt;&gt;"Serviço","",IF(AUTOEVENTO="Manual",IF($A218=0,"&lt;-- defina o número do agrupador",OFFSET(EVENTOS!$D$14,$A218,0)),OFFSET($F$15,$A218,0)))</f>
        <v>SERVIÇOS FINAIS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1000000000000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103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12</v>
      </c>
      <c r="N219" s="212" t="str">
        <f ca="1">IF($D219&lt;&gt;"Serviço","",IF(AUTOEVENTO="Manual",IF($A219=0,"&lt;-- defina o número do agrupador",OFFSET(EVENTOS!$D$14,$A219,0)),OFFSET($F$15,$A219,0)))</f>
        <v>SERVIÇOS FINAIS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1000000000000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103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12</v>
      </c>
      <c r="N220" s="212" t="str">
        <f ca="1">IF($D220&lt;&gt;"Serviço","",IF(AUTOEVENTO="Manual",IF($A220=0,"&lt;-- defina o número do agrupador",OFFSET(EVENTOS!$D$14,$A220,0)),OFFSET($F$15,$A220,0)))</f>
        <v>SERVIÇOS FINAIS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1000000000000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103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12</v>
      </c>
      <c r="N221" s="212" t="str">
        <f ca="1">IF($D221&lt;&gt;"Serviço","",IF(AUTOEVENTO="Manual",IF($A221=0,"&lt;-- defina o número do agrupador",OFFSET(EVENTOS!$D$14,$A221,0)),OFFSET($F$15,$A221,0)))</f>
        <v>SERVIÇOS FINAIS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1000000000000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103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12</v>
      </c>
      <c r="N222" s="212" t="str">
        <f ca="1">IF($D222&lt;&gt;"Serviço","",IF(AUTOEVENTO="Manual",IF($A222=0,"&lt;-- defina o número do agrupador",OFFSET(EVENTOS!$D$14,$A222,0)),OFFSET($F$15,$A222,0)))</f>
        <v>SERVIÇOS FINAIS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1000000000000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103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12</v>
      </c>
      <c r="N223" s="212" t="str">
        <f ca="1">IF($D223&lt;&gt;"Serviço","",IF(AUTOEVENTO="Manual",IF($A223=0,"&lt;-- defina o número do agrupador",OFFSET(EVENTOS!$D$14,$A223,0)),OFFSET($F$15,$A223,0)))</f>
        <v>SERVIÇOS FINAIS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1000000000000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103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12</v>
      </c>
      <c r="N224" s="212" t="str">
        <f ca="1">IF($D224&lt;&gt;"Serviço","",IF(AUTOEVENTO="Manual",IF($A224=0,"&lt;-- defina o número do agrupador",OFFSET(EVENTOS!$D$14,$A224,0)),OFFSET($F$15,$A224,0)))</f>
        <v>SERVIÇOS FINAIS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1000000000000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103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12</v>
      </c>
      <c r="N225" s="212" t="str">
        <f ca="1">IF($D225&lt;&gt;"Serviço","",IF(AUTOEVENTO="Manual",IF($A225=0,"&lt;-- defina o número do agrupador",OFFSET(EVENTOS!$D$14,$A225,0)),OFFSET($F$15,$A225,0)))</f>
        <v>SERVIÇOS FINAIS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1000000000000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103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12</v>
      </c>
      <c r="N226" s="212" t="str">
        <f ca="1">IF($D226&lt;&gt;"Serviço","",IF(AUTOEVENTO="Manual",IF($A226=0,"&lt;-- defina o número do agrupador",OFFSET(EVENTOS!$D$14,$A226,0)),OFFSET($F$15,$A226,0)))</f>
        <v>SERVIÇOS FINAIS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1000000000000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103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12</v>
      </c>
      <c r="N227" s="212" t="str">
        <f ca="1">IF($D227&lt;&gt;"Serviço","",IF(AUTOEVENTO="Manual",IF($A227=0,"&lt;-- defina o número do agrupador",OFFSET(EVENTOS!$D$14,$A227,0)),OFFSET($F$15,$A227,0)))</f>
        <v>SERVIÇOS FINAIS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1000000000000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103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12</v>
      </c>
      <c r="N228" s="212" t="str">
        <f ca="1">IF($D228&lt;&gt;"Serviço","",IF(AUTOEVENTO="Manual",IF($A228=0,"&lt;-- defina o número do agrupador",OFFSET(EVENTOS!$D$14,$A228,0)),OFFSET($F$15,$A228,0)))</f>
        <v>SERVIÇOS FINAIS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1000000000000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103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12</v>
      </c>
      <c r="N229" s="212" t="str">
        <f ca="1">IF($D229&lt;&gt;"Serviço","",IF(AUTOEVENTO="Manual",IF($A229=0,"&lt;-- defina o número do agrupador",OFFSET(EVENTOS!$D$14,$A229,0)),OFFSET($F$15,$A229,0)))</f>
        <v>SERVIÇOS FINAIS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1000000000000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103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12</v>
      </c>
      <c r="N230" s="212" t="str">
        <f ca="1">IF($D230&lt;&gt;"Serviço","",IF(AUTOEVENTO="Manual",IF($A230=0,"&lt;-- defina o número do agrupador",OFFSET(EVENTOS!$D$14,$A230,0)),OFFSET($F$15,$A230,0)))</f>
        <v>SERVIÇOS FINAIS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1000000000000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103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12</v>
      </c>
      <c r="N231" s="212" t="str">
        <f ca="1">IF($D231&lt;&gt;"Serviço","",IF(AUTOEVENTO="Manual",IF($A231=0,"&lt;-- defina o número do agrupador",OFFSET(EVENTOS!$D$14,$A231,0)),OFFSET($F$15,$A231,0)))</f>
        <v>SERVIÇOS FINAIS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1000000000000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103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12</v>
      </c>
      <c r="N232" s="212" t="str">
        <f ca="1">IF($D232&lt;&gt;"Serviço","",IF(AUTOEVENTO="Manual",IF($A232=0,"&lt;-- defina o número do agrupador",OFFSET(EVENTOS!$D$14,$A232,0)),OFFSET($F$15,$A232,0)))</f>
        <v>SERVIÇOS FINAIS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1000000000000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103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12</v>
      </c>
      <c r="N233" s="212" t="str">
        <f ca="1">IF($D233&lt;&gt;"Serviço","",IF(AUTOEVENTO="Manual",IF($A233=0,"&lt;-- defina o número do agrupador",OFFSET(EVENTOS!$D$14,$A233,0)),OFFSET($F$15,$A233,0)))</f>
        <v>SERVIÇOS FINAIS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1000000000000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103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12</v>
      </c>
      <c r="N234" s="212" t="str">
        <f ca="1">IF($D234&lt;&gt;"Serviço","",IF(AUTOEVENTO="Manual",IF($A234=0,"&lt;-- defina o número do agrupador",OFFSET(EVENTOS!$D$14,$A234,0)),OFFSET($F$15,$A234,0)))</f>
        <v>SERVIÇOS FINAIS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1000000000000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103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12</v>
      </c>
      <c r="N235" s="212" t="str">
        <f ca="1">IF($D235&lt;&gt;"Serviço","",IF(AUTOEVENTO="Manual",IF($A235=0,"&lt;-- defina o número do agrupador",OFFSET(EVENTOS!$D$14,$A235,0)),OFFSET($F$15,$A235,0)))</f>
        <v>SERVIÇOS FINAIS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1000000000000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103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12</v>
      </c>
      <c r="N236" s="212" t="str">
        <f ca="1">IF($D236&lt;&gt;"Serviço","",IF(AUTOEVENTO="Manual",IF($A236=0,"&lt;-- defina o número do agrupador",OFFSET(EVENTOS!$D$14,$A236,0)),OFFSET($F$15,$A236,0)))</f>
        <v>SERVIÇOS FINAIS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1000000000000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103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12</v>
      </c>
      <c r="N237" s="212" t="str">
        <f ca="1">IF($D237&lt;&gt;"Serviço","",IF(AUTOEVENTO="Manual",IF($A237=0,"&lt;-- defina o número do agrupador",OFFSET(EVENTOS!$D$14,$A237,0)),OFFSET($F$15,$A237,0)))</f>
        <v>SERVIÇOS FINAIS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1000000000000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103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12</v>
      </c>
      <c r="N238" s="212" t="str">
        <f ca="1">IF($D238&lt;&gt;"Serviço","",IF(AUTOEVENTO="Manual",IF($A238=0,"&lt;-- defina o número do agrupador",OFFSET(EVENTOS!$D$14,$A238,0)),OFFSET($F$15,$A238,0)))</f>
        <v>SERVIÇOS FINAIS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1000000000000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103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12</v>
      </c>
      <c r="N239" s="212" t="str">
        <f ca="1">IF($D239&lt;&gt;"Serviço","",IF(AUTOEVENTO="Manual",IF($A239=0,"&lt;-- defina o número do agrupador",OFFSET(EVENTOS!$D$14,$A239,0)),OFFSET($F$15,$A239,0)))</f>
        <v>SERVIÇOS FINAIS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1000000000000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103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12</v>
      </c>
      <c r="N240" s="212" t="str">
        <f ca="1">IF($D240&lt;&gt;"Serviço","",IF(AUTOEVENTO="Manual",IF($A240=0,"&lt;-- defina o número do agrupador",OFFSET(EVENTOS!$D$14,$A240,0)),OFFSET($F$15,$A240,0)))</f>
        <v>SERVIÇOS FINAIS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1000000000000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103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12</v>
      </c>
      <c r="N241" s="212" t="str">
        <f ca="1">IF($D241&lt;&gt;"Serviço","",IF(AUTOEVENTO="Manual",IF($A241=0,"&lt;-- defina o número do agrupador",OFFSET(EVENTOS!$D$14,$A241,0)),OFFSET($F$15,$A241,0)))</f>
        <v>SERVIÇOS FINAIS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1000000000000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103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12</v>
      </c>
      <c r="N242" s="212" t="str">
        <f ca="1">IF($D242&lt;&gt;"Serviço","",IF(AUTOEVENTO="Manual",IF($A242=0,"&lt;-- defina o número do agrupador",OFFSET(EVENTOS!$D$14,$A242,0)),OFFSET($F$15,$A242,0)))</f>
        <v>SERVIÇOS FINAIS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1000000000000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103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12</v>
      </c>
      <c r="N243" s="212" t="str">
        <f ca="1">IF($D243&lt;&gt;"Serviço","",IF(AUTOEVENTO="Manual",IF($A243=0,"&lt;-- defina o número do agrupador",OFFSET(EVENTOS!$D$14,$A243,0)),OFFSET($F$15,$A243,0)))</f>
        <v>SERVIÇOS FINAIS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1000000000000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103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12</v>
      </c>
      <c r="N244" s="212" t="str">
        <f ca="1">IF($D244&lt;&gt;"Serviço","",IF(AUTOEVENTO="Manual",IF($A244=0,"&lt;-- defina o número do agrupador",OFFSET(EVENTOS!$D$14,$A244,0)),OFFSET($F$15,$A244,0)))</f>
        <v>SERVIÇOS FINAIS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1000000000000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103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12</v>
      </c>
      <c r="N245" s="212" t="str">
        <f ca="1">IF($D245&lt;&gt;"Serviço","",IF(AUTOEVENTO="Manual",IF($A245=0,"&lt;-- defina o número do agrupador",OFFSET(EVENTOS!$D$14,$A245,0)),OFFSET($F$15,$A245,0)))</f>
        <v>SERVIÇOS FINAIS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1000000000000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103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12</v>
      </c>
      <c r="N246" s="212" t="str">
        <f ca="1">IF($D246&lt;&gt;"Serviço","",IF(AUTOEVENTO="Manual",IF($A246=0,"&lt;-- defina o número do agrupador",OFFSET(EVENTOS!$D$14,$A246,0)),OFFSET($F$15,$A246,0)))</f>
        <v>SERVIÇOS FINAIS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1000000000000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103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12</v>
      </c>
      <c r="N247" s="212" t="str">
        <f ca="1">IF($D247&lt;&gt;"Serviço","",IF(AUTOEVENTO="Manual",IF($A247=0,"&lt;-- defina o número do agrupador",OFFSET(EVENTOS!$D$14,$A247,0)),OFFSET($F$15,$A247,0)))</f>
        <v>SERVIÇOS FINAIS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1000000000000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103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12</v>
      </c>
      <c r="N248" s="212" t="str">
        <f ca="1">IF($D248&lt;&gt;"Serviço","",IF(AUTOEVENTO="Manual",IF($A248=0,"&lt;-- defina o número do agrupador",OFFSET(EVENTOS!$D$14,$A248,0)),OFFSET($F$15,$A248,0)))</f>
        <v>SERVIÇOS FINAIS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1000000000000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103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12</v>
      </c>
      <c r="N249" s="212" t="str">
        <f ca="1">IF($D249&lt;&gt;"Serviço","",IF(AUTOEVENTO="Manual",IF($A249=0,"&lt;-- defina o número do agrupador",OFFSET(EVENTOS!$D$14,$A249,0)),OFFSET($F$15,$A249,0)))</f>
        <v>SERVIÇOS FINAIS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1000000000000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103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12</v>
      </c>
      <c r="N250" s="212" t="str">
        <f ca="1">IF($D250&lt;&gt;"Serviço","",IF(AUTOEVENTO="Manual",IF($A250=0,"&lt;-- defina o número do agrupador",OFFSET(EVENTOS!$D$14,$A250,0)),OFFSET($F$15,$A250,0)))</f>
        <v>SERVIÇOS FINAIS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1000000000000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103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12</v>
      </c>
      <c r="N251" s="212" t="str">
        <f ca="1">IF($D251&lt;&gt;"Serviço","",IF(AUTOEVENTO="Manual",IF($A251=0,"&lt;-- defina o número do agrupador",OFFSET(EVENTOS!$D$14,$A251,0)),OFFSET($F$15,$A251,0)))</f>
        <v>SERVIÇOS FINAIS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1000000000000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103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12</v>
      </c>
      <c r="N252" s="212" t="str">
        <f ca="1">IF($D252&lt;&gt;"Serviço","",IF(AUTOEVENTO="Manual",IF($A252=0,"&lt;-- defina o número do agrupador",OFFSET(EVENTOS!$D$14,$A252,0)),OFFSET($F$15,$A252,0)))</f>
        <v>SERVIÇOS FINAIS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1000000000000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103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12</v>
      </c>
      <c r="N253" s="212" t="str">
        <f ca="1">IF($D253&lt;&gt;"Serviço","",IF(AUTOEVENTO="Manual",IF($A253=0,"&lt;-- defina o número do agrupador",OFFSET(EVENTOS!$D$14,$A253,0)),OFFSET($F$15,$A253,0)))</f>
        <v>SERVIÇOS FINAIS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1000000000000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103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12</v>
      </c>
      <c r="N254" s="212" t="str">
        <f ca="1">IF($D254&lt;&gt;"Serviço","",IF(AUTOEVENTO="Manual",IF($A254=0,"&lt;-- defina o número do agrupador",OFFSET(EVENTOS!$D$14,$A254,0)),OFFSET($F$15,$A254,0)))</f>
        <v>SERVIÇOS FINAIS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1000000000000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103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12</v>
      </c>
      <c r="N255" s="212" t="str">
        <f ca="1">IF($D255&lt;&gt;"Serviço","",IF(AUTOEVENTO="Manual",IF($A255=0,"&lt;-- defina o número do agrupador",OFFSET(EVENTOS!$D$14,$A255,0)),OFFSET($F$15,$A255,0)))</f>
        <v>SERVIÇOS FINAIS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1000000000000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103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12</v>
      </c>
      <c r="N256" s="212" t="str">
        <f ca="1">IF($D256&lt;&gt;"Serviço","",IF(AUTOEVENTO="Manual",IF($A256=0,"&lt;-- defina o número do agrupador",OFFSET(EVENTOS!$D$14,$A256,0)),OFFSET($F$15,$A256,0)))</f>
        <v>SERVIÇOS FINAIS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1000000000000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103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12</v>
      </c>
      <c r="N257" s="212" t="str">
        <f ca="1">IF($D257&lt;&gt;"Serviço","",IF(AUTOEVENTO="Manual",IF($A257=0,"&lt;-- defina o número do agrupador",OFFSET(EVENTOS!$D$14,$A257,0)),OFFSET($F$15,$A257,0)))</f>
        <v>SERVIÇOS FINAIS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1000000000000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103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12</v>
      </c>
      <c r="N258" s="212" t="str">
        <f ca="1">IF($D258&lt;&gt;"Serviço","",IF(AUTOEVENTO="Manual",IF($A258=0,"&lt;-- defina o número do agrupador",OFFSET(EVENTOS!$D$14,$A258,0)),OFFSET($F$15,$A258,0)))</f>
        <v>SERVIÇOS FINAIS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1000000000000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103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12</v>
      </c>
      <c r="N259" s="212" t="str">
        <f ca="1">IF($D259&lt;&gt;"Serviço","",IF(AUTOEVENTO="Manual",IF($A259=0,"&lt;-- defina o número do agrupador",OFFSET(EVENTOS!$D$14,$A259,0)),OFFSET($F$15,$A259,0)))</f>
        <v>SERVIÇOS FINAIS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1000000000000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103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12</v>
      </c>
      <c r="N260" s="212" t="str">
        <f ca="1">IF($D260&lt;&gt;"Serviço","",IF(AUTOEVENTO="Manual",IF($A260=0,"&lt;-- defina o número do agrupador",OFFSET(EVENTOS!$D$14,$A260,0)),OFFSET($F$15,$A260,0)))</f>
        <v>SERVIÇOS FINAIS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1000000000000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103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12</v>
      </c>
      <c r="N261" s="212" t="str">
        <f ca="1">IF($D261&lt;&gt;"Serviço","",IF(AUTOEVENTO="Manual",IF($A261=0,"&lt;-- defina o número do agrupador",OFFSET(EVENTOS!$D$14,$A261,0)),OFFSET($F$15,$A261,0)))</f>
        <v>SERVIÇOS FINAIS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1000000000000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103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12</v>
      </c>
      <c r="N262" s="212" t="str">
        <f ca="1">IF($D262&lt;&gt;"Serviço","",IF(AUTOEVENTO="Manual",IF($A262=0,"&lt;-- defina o número do agrupador",OFFSET(EVENTOS!$D$14,$A262,0)),OFFSET($F$15,$A262,0)))</f>
        <v>SERVIÇOS FINAIS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1000000000000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103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12</v>
      </c>
      <c r="N263" s="212" t="str">
        <f ca="1">IF($D263&lt;&gt;"Serviço","",IF(AUTOEVENTO="Manual",IF($A263=0,"&lt;-- defina o número do agrupador",OFFSET(EVENTOS!$D$14,$A263,0)),OFFSET($F$15,$A263,0)))</f>
        <v>SERVIÇOS FINAIS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1000000000000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103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12</v>
      </c>
      <c r="N264" s="212" t="str">
        <f ca="1">IF($D264&lt;&gt;"Serviço","",IF(AUTOEVENTO="Manual",IF($A264=0,"&lt;-- defina o número do agrupador",OFFSET(EVENTOS!$D$14,$A264,0)),OFFSET($F$15,$A264,0)))</f>
        <v>SERVIÇOS FINAIS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1000000000000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103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12</v>
      </c>
      <c r="N265" s="212" t="str">
        <f ca="1">IF($D265&lt;&gt;"Serviço","",IF(AUTOEVENTO="Manual",IF($A265=0,"&lt;-- defina o número do agrupador",OFFSET(EVENTOS!$D$14,$A265,0)),OFFSET($F$15,$A265,0)))</f>
        <v>SERVIÇOS FINAIS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1000000000000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CÉU AZUL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ALESSANDRO SANFELIZ</v>
      </c>
      <c r="K272" s="97"/>
      <c r="L272" s="97"/>
      <c r="T272" s="604" t="str">
        <f t="array" aca="1" ref="T272:T274" ca="1">OFFSET(Import.RespOrçamento,0,-1) &amp; " " &amp; Import.RespOrçamento</f>
        <v>Nome: ALESSANDRO SANFELIZ</v>
      </c>
      <c r="U272" s="96"/>
    </row>
    <row r="273" spans="3:21" ht="12.75" customHeight="1" x14ac:dyDescent="0.2">
      <c r="F273" s="601">
        <f>DADOS!$F$25</f>
        <v>44110</v>
      </c>
      <c r="I273" s="604" t="str">
        <f ca="1"/>
        <v>CREA/CAU: A137617-9</v>
      </c>
      <c r="K273" s="97"/>
      <c r="L273" s="97"/>
      <c r="T273" s="604" t="str">
        <f ca="1"/>
        <v>CREA/CAU: A137617-9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algorithmName="SHA-512" hashValue="Wx103BbinZevJBwrlgCqVJ26fdgYg6wXrTa01WDosbqOSomn1AWvNLVRRPODU0YxW3Gqm7L6dBin/SHtg6frhg==" saltValue="IgqRuDj0YYaAP1ner67dug==" spinCount="100000" sheet="1" autoFilter="0"/>
  <autoFilter ref="C15:C266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40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407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algorithmName="SHA-512" hashValue="FJE28XpwhOkXST6QUJs3v4JSsQgzXzGSU4DHKN8xke/bvZqq0glmY74td2QR5Iy/8R18SjyGNOGi5qiOv/gwMA==" saltValue="YwkKtJN60tA5zlpoiIfMVQ==" spinCount="100000"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40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mc:AlternateContent xmlns:x12ac="http://schemas.microsoft.com/office/spreadsheetml/2011/1/ac" xmlns:mc="http://schemas.openxmlformats.org/markup-compatibility/2006">
        <mc:Choice Requires="x12ac">
          <x12ac:list>"Automática, conforme os agrupadores Nível 2 do Orçamento","Automática, conforme os agrupadores Nível 3 do Orçamento","Automática, conforme os agrupadores Nível 4 do Orçamento",Definir Manualmente</x12ac:list>
        </mc:Choice>
        <mc:Fallback>
          <formula1>"Automática, conforme os agrupadores Nível 2 do Orçamento,Automática, conforme os agrupadores Nível 3 do Orçamento,Automática, conforme os agrupadores Nível 4 do Orçamento,Definir Manualmente"</formula1>
        </mc:Fallback>
      </mc:AlternateContent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tabSelected="1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U42" sqref="U42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64" t="s">
        <v>139</v>
      </c>
      <c r="AE4" s="664"/>
    </row>
    <row r="5" spans="1:32" ht="15" x14ac:dyDescent="0.2">
      <c r="R5" s="107" t="str">
        <f>import.recurso</f>
        <v>OGU</v>
      </c>
      <c r="AD5" s="665" t="s">
        <v>142</v>
      </c>
      <c r="AE5" s="665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16" t="s">
        <v>270</v>
      </c>
      <c r="H7" s="268" t="s">
        <v>440</v>
      </c>
      <c r="I7" s="269"/>
      <c r="J7" s="270" t="s">
        <v>441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92" t="s">
        <v>208</v>
      </c>
      <c r="G8" s="716"/>
      <c r="H8" s="715">
        <f>Import.CR</f>
        <v>0</v>
      </c>
      <c r="I8" s="715"/>
      <c r="J8" s="274">
        <f>Import.SICONV</f>
        <v>0</v>
      </c>
      <c r="K8" s="725" t="str">
        <f>Import.Proponente</f>
        <v>MUNICIPIO DE CÉU AZUL</v>
      </c>
      <c r="L8" s="725"/>
      <c r="M8" s="725"/>
      <c r="N8" s="725"/>
      <c r="O8" s="725"/>
      <c r="P8" s="725"/>
      <c r="Q8" s="725"/>
      <c r="R8" s="725"/>
      <c r="S8" s="725"/>
      <c r="T8" s="715" t="str">
        <f>Import.Apelido</f>
        <v xml:space="preserve">CONSTRUÇÃO DE CÓPA E APOIO PARA FUNCIONÁRIOS PÁTIO DE MAQUINAS
</v>
      </c>
      <c r="U8" s="715"/>
      <c r="V8" s="715"/>
      <c r="W8" s="715"/>
      <c r="X8" s="715"/>
      <c r="Y8" s="722" t="str">
        <f>IF(TIPOORCAMENTO="Licitado",Import.empresa,Import.DescLote)</f>
        <v>CONSTRUÇÃO DE CÓPA E APOIO PARA FUNCIONÁRIOS PÁTIO DE MAQUINAS</v>
      </c>
      <c r="Z8" s="722"/>
      <c r="AA8" s="722"/>
      <c r="AB8" s="722"/>
      <c r="AC8" s="722"/>
      <c r="AD8" s="722"/>
      <c r="AE8" s="275" t="str">
        <f>IF(TIPOORCAMENTO="Licitado",Import.CTEF,"")</f>
        <v/>
      </c>
    </row>
    <row r="9" spans="1:32" x14ac:dyDescent="0.2">
      <c r="E9" s="144"/>
      <c r="F9" s="692"/>
      <c r="G9" s="716"/>
    </row>
    <row r="10" spans="1:32" x14ac:dyDescent="0.2">
      <c r="E10" s="267"/>
      <c r="F10" s="692"/>
      <c r="G10" s="276">
        <v>2</v>
      </c>
      <c r="J10" s="726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6"/>
      <c r="L10" s="726"/>
      <c r="M10" s="726"/>
      <c r="N10" s="726"/>
      <c r="O10" s="726"/>
      <c r="P10" s="726"/>
      <c r="Q10" s="726"/>
      <c r="R10" s="726"/>
      <c r="S10" s="726"/>
    </row>
    <row r="11" spans="1:32" ht="12.75" customHeight="1" x14ac:dyDescent="0.2">
      <c r="F11" s="692"/>
      <c r="H11" s="277"/>
      <c r="I11" s="277"/>
      <c r="J11" s="726"/>
      <c r="K11" s="726"/>
      <c r="L11" s="726"/>
      <c r="M11" s="726"/>
      <c r="N11" s="726"/>
      <c r="O11" s="726"/>
      <c r="P11" s="726"/>
      <c r="Q11" s="726"/>
      <c r="R11" s="726"/>
      <c r="S11" s="726"/>
    </row>
    <row r="12" spans="1:32" ht="12.75" customHeight="1" x14ac:dyDescent="0.2">
      <c r="D12" s="278">
        <f ca="1">OFFSET(D12,0,-1)+1</f>
        <v>1</v>
      </c>
      <c r="F12" s="136" t="s">
        <v>216</v>
      </c>
      <c r="G12" s="718" t="s">
        <v>273</v>
      </c>
      <c r="H12" s="719" t="s">
        <v>230</v>
      </c>
      <c r="I12" s="720" t="s">
        <v>233</v>
      </c>
      <c r="J12" s="279"/>
      <c r="K12" s="279"/>
      <c r="L12" s="280"/>
      <c r="M12" s="280"/>
      <c r="N12" s="280"/>
      <c r="O12" s="280"/>
      <c r="P12" s="280"/>
      <c r="Q12" s="280"/>
      <c r="R12" s="723" t="s">
        <v>274</v>
      </c>
      <c r="S12" s="724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18"/>
      <c r="H13" s="719"/>
      <c r="I13" s="720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23"/>
      <c r="S13" s="724"/>
      <c r="T13" s="288">
        <v>44155</v>
      </c>
      <c r="U13" s="284">
        <f ca="1">OFFSET(U13,0,-1)+41-DAY(OFFSET(U13,0,-1)+40)</f>
        <v>44166</v>
      </c>
      <c r="V13" s="284">
        <f ca="1">OFFSET(V13,0,-1)+41-DAY(OFFSET(V13,0,-1)+40)</f>
        <v>44197</v>
      </c>
      <c r="W13" s="284">
        <f t="shared" ref="W13:AE13" ca="1" si="2">OFFSET(W13,0,-1)+41-DAY(OFFSET(W13,0,-1)+40)</f>
        <v>44228</v>
      </c>
      <c r="X13" s="284">
        <f t="shared" ca="1" si="2"/>
        <v>44256</v>
      </c>
      <c r="Y13" s="284">
        <f t="shared" ca="1" si="2"/>
        <v>44287</v>
      </c>
      <c r="Z13" s="284">
        <f t="shared" ca="1" si="2"/>
        <v>44317</v>
      </c>
      <c r="AA13" s="284">
        <f t="shared" ca="1" si="2"/>
        <v>44348</v>
      </c>
      <c r="AB13" s="284">
        <f t="shared" ca="1" si="2"/>
        <v>44378</v>
      </c>
      <c r="AC13" s="284">
        <f t="shared" ca="1" si="2"/>
        <v>44409</v>
      </c>
      <c r="AD13" s="284">
        <f t="shared" ca="1" si="2"/>
        <v>44440</v>
      </c>
      <c r="AE13" s="289">
        <f t="shared" ca="1" si="2"/>
        <v>44470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OBRA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35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35</v>
      </c>
      <c r="R14" s="248">
        <f ca="1">IF($E15=0,OFFSET(ORÇAMENTO!X$15,$E14,0),IF($E15&lt;&gt;-1,OFFSET(QCI!$O$13,$E15,0),""))</f>
        <v>137954.57999999999</v>
      </c>
      <c r="S14" s="249" t="s">
        <v>269</v>
      </c>
      <c r="T14" s="250">
        <f t="shared" ref="T14:AE14" ca="1" si="3">IF(AND($Q14=2,ACOMPANHAMENTO="BM"),T15,T16/$R14)</f>
        <v>0.10726838500033851</v>
      </c>
      <c r="U14" s="242">
        <f t="shared" ca="1" si="3"/>
        <v>0.2076836448634036</v>
      </c>
      <c r="V14" s="242">
        <f t="shared" ca="1" si="3"/>
        <v>0.33166484940188284</v>
      </c>
      <c r="W14" s="242">
        <f t="shared" ca="1" si="3"/>
        <v>0.23697606125146409</v>
      </c>
      <c r="X14" s="242">
        <f t="shared" ca="1" si="3"/>
        <v>7.7367877166528293E-2</v>
      </c>
      <c r="Y14" s="242">
        <f t="shared" ca="1" si="3"/>
        <v>3.9039182316382683E-2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0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14798.164999999999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28650.91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45754.684999999998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32691.933000000001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10673.253000000001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5385.634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0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>
        <f ca="1">IF(OR(R17=0,R17=""),"Linha",IF(AND(OR(ACOMPANHAMENTO="PLE",$Q17&lt;&gt;2),$E18=0),"Linha",1-SUM(T17:AF17)))</f>
        <v>0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SERVIÇOS PRELIMINARES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32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951.81</v>
      </c>
      <c r="S17" s="249" t="s">
        <v>269</v>
      </c>
      <c r="T17" s="250">
        <f t="shared" ref="T17:AE17" ca="1" si="4">IF(AND($Q17=2,ACOMPANHAMENTO="BM"),T18,T19/$R17)</f>
        <v>1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--&gt;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>
        <v>1</v>
      </c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0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951.81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</v>
      </c>
      <c r="E20" s="239">
        <f ca="1">IF(A20&lt;=ORÇAMENTO.MáximoListaCrono,MATCH(A20,ORÇAMENTO.ListaCrono,0),NA())</f>
        <v>9</v>
      </c>
      <c r="F20" s="239" t="str">
        <f ca="1">IF(AND($E21&lt;&gt;-1,$R20&gt;0),"F","")</f>
        <v>F</v>
      </c>
      <c r="G20" s="243">
        <f ca="1">IF(OR(R20=0,R20=""),"Linha",IF(AND(OR(ACOMPANHAMENTO="PLE",$Q20&lt;&gt;2),$E21=0),"Linha",1-SUM(T20:AF20)))</f>
        <v>0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FUNDAÇÃO E ESTRUTURA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29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27692.71</v>
      </c>
      <c r="S20" s="249" t="s">
        <v>269</v>
      </c>
      <c r="T20" s="250">
        <f t="shared" ref="T20:AE20" ca="1" si="5">IF(AND($Q20=2,ACOMPANHAMENTO="BM"),T21,T22/$R20)</f>
        <v>0.5</v>
      </c>
      <c r="U20" s="242">
        <f t="shared" ca="1" si="5"/>
        <v>0.5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--&gt;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>
        <v>0.5</v>
      </c>
      <c r="U21" s="620">
        <v>0.5</v>
      </c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0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13846.355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13846.355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23</v>
      </c>
      <c r="F23" s="239" t="str">
        <f ca="1">IF(AND($E24&lt;&gt;-1,$R23&gt;0),"F","")</f>
        <v>F</v>
      </c>
      <c r="G23" s="243">
        <f ca="1">IF(OR(R23=0,R23=""),"Linha",IF(AND(OR(ACOMPANHAMENTO="PLE",$Q23&lt;&gt;2),$E24=0),"Linha",1-SUM(T23:AF23)))</f>
        <v>0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PAREDES E FECHAMENTOS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26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29609.11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0.5</v>
      </c>
      <c r="V23" s="242">
        <f t="shared" ca="1" si="6"/>
        <v>0.5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--&gt;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>
        <v>0.5</v>
      </c>
      <c r="V24" s="620">
        <v>0.5</v>
      </c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14804.555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14804.555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35</v>
      </c>
      <c r="F26" s="239" t="str">
        <f ca="1">IF(AND($E27&lt;&gt;-1,$R26&gt;0),"F","")</f>
        <v>F</v>
      </c>
      <c r="G26" s="243">
        <f ca="1">IF(OR(R26=0,R26=""),"Linha",IF(AND(OR(ACOMPANHAMENTO="PLE",$Q26&lt;&gt;2),$E27=0),"Linha",1-SUM(T26:AF26)))</f>
        <v>0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COBERTURA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23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20837.439999999999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</v>
      </c>
      <c r="V26" s="242">
        <f t="shared" ca="1" si="7"/>
        <v>0.5</v>
      </c>
      <c r="W26" s="242">
        <f t="shared" ca="1" si="7"/>
        <v>0.5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--&gt;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>
        <v>0.5</v>
      </c>
      <c r="W27" s="620">
        <v>0.5</v>
      </c>
      <c r="X27" s="620">
        <v>0</v>
      </c>
      <c r="Y27" s="620">
        <v>0</v>
      </c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0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10418.719999999999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10418.719999999999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45</v>
      </c>
      <c r="F29" s="239" t="str">
        <f ca="1">IF(AND($E30&lt;&gt;-1,$R29&gt;0),"F","")</f>
        <v>F</v>
      </c>
      <c r="G29" s="243">
        <f ca="1">IF(OR(R29=0,R29=""),"Linha",IF(AND(OR(ACOMPANHAMENTO="PLE",$Q29&lt;&gt;2),$E30=0),"Linha",1-SUM(T29:AF29)))</f>
        <v>0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REVESTIMENTOS DE PISOS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20</v>
      </c>
      <c r="N29" s="247">
        <f ca="1">IF($E30=-1,0,IF(N$13&lt;=$L29,IF(ISERROR(MATCH(N$13,OFFSET($L29,1,0,ROW($L$164)-ROW($L29)-1),0)),ROW($L$164)-ROW($L29)-1,MATCH(N$13,OFFSET($L29,1,0,ROW($L$164)-ROW($L29)-1),0)-1),0))</f>
        <v>2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7082.7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0.5</v>
      </c>
      <c r="W29" s="242">
        <f t="shared" ca="1" si="8"/>
        <v>0.5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--&gt;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>
        <v>0.5</v>
      </c>
      <c r="W30" s="620">
        <v>0.5</v>
      </c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3541.35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3541.35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0</v>
      </c>
      <c r="D32" s="242">
        <f ca="1">IF(AND($Q32=2,ACOMPANHAMENTO="BM"),D33,D34/$R32)</f>
        <v>0</v>
      </c>
      <c r="E32" s="239">
        <f ca="1">IF(A32&lt;=ORÇAMENTO.MáximoListaCrono,MATCH(A32,ORÇAMENTO.ListaCrono,0),NA())</f>
        <v>54</v>
      </c>
      <c r="F32" s="239" t="str">
        <f ca="1">IF(AND($E33&lt;&gt;-1,$R32&gt;0),"F","")</f>
        <v>F</v>
      </c>
      <c r="G32" s="243">
        <f ca="1">IF(OR(R32=0,R32=""),"Linha",IF(AND(OR(ACOMPANHAMENTO="PLE",$Q32&lt;&gt;2),$E33=0),"Linha",1-SUM(T32:AF32)))</f>
        <v>0</v>
      </c>
      <c r="H32" s="244" t="str">
        <f ca="1">IF($E33=0,OFFSET(ORÇAMENTO!O$15,$E32,0),IF($E33&lt;&gt;-1,OFFSET(QCI!$D$13,$E33,0),""))</f>
        <v>1.6.</v>
      </c>
      <c r="I32" s="245" t="str">
        <f ca="1">IF($E33=0,OFFSET(ORÇAMENTO!R$15,$E32,0),IF($E33&lt;&gt;-1,OFFSET(QCI!$G$13,$E33,0),""))</f>
        <v>REVESTIMENTOS DE PAREDES</v>
      </c>
      <c r="J32" s="245"/>
      <c r="K32" s="245"/>
      <c r="L32" s="246">
        <f ca="1">IF($E33=0,OFFSET(ORÇAMENTO!C$15,$E32,0),1)</f>
        <v>2</v>
      </c>
      <c r="M32" s="247">
        <f ca="1">IF($E33=-1,0,IF(M$13&lt;=$L32,IF(ISERROR(MATCH(M$13,OFFSET($L32,1,0,ROW($L$164)-ROW($L32)-1),0)),ROW($L$164)-ROW($L32)-1,MATCH(M$13,OFFSET($L32,1,0,ROW($L$164)-ROW($L32)-1),0)-1),0))</f>
        <v>17</v>
      </c>
      <c r="N32" s="247">
        <f ca="1">IF($E33=-1,0,IF(N$13&lt;=$L32,IF(ISERROR(MATCH(N$13,OFFSET($L32,1,0,ROW($L$164)-ROW($L32)-1),0)),ROW($L$164)-ROW($L32)-1,MATCH(N$13,OFFSET($L32,1,0,ROW($L$164)-ROW($L32)-1),0)-1),0))</f>
        <v>2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17896.150000000001</v>
      </c>
      <c r="S32" s="249" t="s">
        <v>269</v>
      </c>
      <c r="T32" s="250">
        <f t="shared" ref="T32:AE32" ca="1" si="9">IF(AND($Q32=2,ACOMPANHAMENTO="BM"),T33,T34/$R32)</f>
        <v>0</v>
      </c>
      <c r="U32" s="242">
        <f t="shared" ca="1" si="9"/>
        <v>0</v>
      </c>
      <c r="V32" s="242">
        <f t="shared" ca="1" si="9"/>
        <v>0</v>
      </c>
      <c r="W32" s="242">
        <f t="shared" ca="1" si="9"/>
        <v>0.5</v>
      </c>
      <c r="X32" s="242">
        <f t="shared" ca="1" si="9"/>
        <v>0.5</v>
      </c>
      <c r="Y32" s="242">
        <f t="shared" ca="1" si="9"/>
        <v>0</v>
      </c>
      <c r="Z32" s="242">
        <f t="shared" ca="1" si="9"/>
        <v>0</v>
      </c>
      <c r="AA32" s="242">
        <f t="shared" ca="1" si="9"/>
        <v>0</v>
      </c>
      <c r="AB32" s="242">
        <f t="shared" ca="1" si="9"/>
        <v>0</v>
      </c>
      <c r="AC32" s="242">
        <f t="shared" ca="1" si="9"/>
        <v>0</v>
      </c>
      <c r="AD32" s="242">
        <f t="shared" ca="1" si="9"/>
        <v>0</v>
      </c>
      <c r="AE32" s="251">
        <f t="shared" ca="1" si="9"/>
        <v>0</v>
      </c>
    </row>
    <row r="33" spans="1:32" ht="12.75" customHeight="1" x14ac:dyDescent="0.2">
      <c r="D33" s="620"/>
      <c r="E33" s="239">
        <f ca="1">IF(ISERROR(E32),IF(1+COUNTIF($L$13:OFFSET(L32,-1,0),1)&lt;=MAX(QCI!$D$13:$D$24),1+COUNTIF($L$13:OFFSET(L32,-1,0),1),-1),0)</f>
        <v>0</v>
      </c>
      <c r="F33" s="239" t="str">
        <f ca="1">IF(AND($E33&lt;&gt;-1,$R32&gt;0),"F","")</f>
        <v>F</v>
      </c>
      <c r="G33" s="252" t="str">
        <f ca="1">IF(OR(R32=0,R32=""),"vazia",IF(AND(OR(ACOMPANHAMENTO="PLE",$Q32&lt;&gt;2),$E33=0),"calculada","--&gt;"))</f>
        <v>--&gt;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>
        <v>0.5</v>
      </c>
      <c r="X33" s="620">
        <v>0.5</v>
      </c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2$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8948.0750000000007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8948.0750000000007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0</v>
      </c>
      <c r="D35" s="242">
        <f ca="1">IF(AND($Q35=2,ACOMPANHAMENTO="BM"),D36,D37/$R35)</f>
        <v>0</v>
      </c>
      <c r="E35" s="239">
        <f ca="1">IF(A35&lt;=ORÇAMENTO.MáximoListaCrono,MATCH(A35,ORÇAMENTO.ListaCrono,0),NA())</f>
        <v>59</v>
      </c>
      <c r="F35" s="239" t="str">
        <f ca="1">IF(AND($E36&lt;&gt;-1,$R35&gt;0),"F","")</f>
        <v>F</v>
      </c>
      <c r="G35" s="243">
        <f ca="1">IF(OR(R35=0,R35=""),"Linha",IF(AND(OR(ACOMPANHAMENTO="PLE",$Q35&lt;&gt;2),$E36=0),"Linha",1-SUM(T35:AF35)))</f>
        <v>0</v>
      </c>
      <c r="H35" s="244" t="str">
        <f ca="1">IF($E36=0,OFFSET(ORÇAMENTO!O$15,$E35,0),IF($E36&lt;&gt;-1,OFFSET(QCI!$D$13,$E36,0),""))</f>
        <v>1.7.</v>
      </c>
      <c r="I35" s="245" t="str">
        <f ca="1">IF($E36=0,OFFSET(ORÇAMENTO!R$15,$E35,0),IF($E36&lt;&gt;-1,OFFSET(QCI!$G$13,$E36,0),""))</f>
        <v>ELETRICA</v>
      </c>
      <c r="J35" s="245"/>
      <c r="K35" s="245"/>
      <c r="L35" s="246">
        <f ca="1">IF($E36=0,OFFSET(ORÇAMENTO!C$15,$E35,0),1)</f>
        <v>2</v>
      </c>
      <c r="M35" s="247">
        <f ca="1">IF($E36=-1,0,IF(M$13&lt;=$L35,IF(ISERROR(MATCH(M$13,OFFSET($L35,1,0,ROW($L$164)-ROW($L35)-1),0)),ROW($L$164)-ROW($L35)-1,MATCH(M$13,OFFSET($L35,1,0,ROW($L$164)-ROW($L35)-1),0)-1),0))</f>
        <v>14</v>
      </c>
      <c r="N35" s="247">
        <f ca="1">IF($E36=-1,0,IF(N$13&lt;=$L35,IF(ISERROR(MATCH(N$13,OFFSET($L35,1,0,ROW($L$164)-ROW($L35)-1),0)),ROW($L$164)-ROW($L35)-1,MATCH(N$13,OFFSET($L35,1,0,ROW($L$164)-ROW($L35)-1),0)-1),0))</f>
        <v>2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5367.57</v>
      </c>
      <c r="S35" s="249" t="s">
        <v>269</v>
      </c>
      <c r="T35" s="250">
        <f t="shared" ref="T35:AE35" ca="1" si="10">IF(AND($Q35=2,ACOMPANHAMENTO="BM"),T36,T37/$R35)</f>
        <v>0</v>
      </c>
      <c r="U35" s="242">
        <f t="shared" ca="1" si="10"/>
        <v>0</v>
      </c>
      <c r="V35" s="242">
        <f t="shared" ca="1" si="10"/>
        <v>0.5</v>
      </c>
      <c r="W35" s="242">
        <f t="shared" ca="1" si="10"/>
        <v>0.5</v>
      </c>
      <c r="X35" s="242">
        <f t="shared" ca="1" si="10"/>
        <v>0</v>
      </c>
      <c r="Y35" s="242">
        <f t="shared" ca="1" si="10"/>
        <v>0</v>
      </c>
      <c r="Z35" s="242">
        <f t="shared" ca="1" si="10"/>
        <v>0</v>
      </c>
      <c r="AA35" s="242">
        <f t="shared" ca="1" si="10"/>
        <v>0</v>
      </c>
      <c r="AB35" s="242">
        <f t="shared" ca="1" si="10"/>
        <v>0</v>
      </c>
      <c r="AC35" s="242">
        <f t="shared" ca="1" si="10"/>
        <v>0</v>
      </c>
      <c r="AD35" s="242">
        <f t="shared" ca="1" si="10"/>
        <v>0</v>
      </c>
      <c r="AE35" s="251">
        <f t="shared" ca="1" si="10"/>
        <v>0</v>
      </c>
    </row>
    <row r="36" spans="1:32" ht="12.75" customHeight="1" x14ac:dyDescent="0.2">
      <c r="D36" s="620"/>
      <c r="E36" s="239">
        <f ca="1">IF(ISERROR(E35),IF(1+COUNTIF($L$13:OFFSET(L35,-1,0),1)&lt;=MAX(QCI!$D$13:$D$24),1+COUNTIF($L$13:OFFSET(L35,-1,0),1),-1),0)</f>
        <v>0</v>
      </c>
      <c r="F36" s="239" t="str">
        <f ca="1">IF(AND($E36&lt;&gt;-1,$R35&gt;0),"F","")</f>
        <v>F</v>
      </c>
      <c r="G36" s="252" t="str">
        <f ca="1">IF(OR(R35=0,R35=""),"vazia",IF(AND(OR(ACOMPANHAMENTO="PLE",$Q35&lt;&gt;2),$E36=0),"calculada","--&gt;"))</f>
        <v>--&gt;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>
        <v>0.5</v>
      </c>
      <c r="W36" s="620">
        <v>0.5</v>
      </c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2$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2683.7849999999999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2683.7849999999999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0</v>
      </c>
      <c r="D38" s="242">
        <f ca="1">IF(AND($Q38=2,ACOMPANHAMENTO="BM"),D39,D40/$R38)</f>
        <v>0</v>
      </c>
      <c r="E38" s="239">
        <f ca="1">IF(A38&lt;=ORÇAMENTO.MáximoListaCrono,MATCH(A38,ORÇAMENTO.ListaCrono,0),NA())</f>
        <v>70</v>
      </c>
      <c r="F38" s="239" t="str">
        <f ca="1">IF(AND($E39&lt;&gt;-1,$R38&gt;0),"F","")</f>
        <v>F</v>
      </c>
      <c r="G38" s="243">
        <f ca="1">IF(OR(R38=0,R38=""),"Linha",IF(AND(OR(ACOMPANHAMENTO="PLE",$Q38&lt;&gt;2),$E39=0),"Linha",1-SUM(T38:AF38)))</f>
        <v>0</v>
      </c>
      <c r="H38" s="244" t="str">
        <f ca="1">IF($E39=0,OFFSET(ORÇAMENTO!O$15,$E38,0),IF($E39&lt;&gt;-1,OFFSET(QCI!$D$13,$E39,0),""))</f>
        <v>1.8.</v>
      </c>
      <c r="I38" s="245" t="str">
        <f ca="1">IF($E39=0,OFFSET(ORÇAMENTO!R$15,$E38,0),IF($E39&lt;&gt;-1,OFFSET(QCI!$G$13,$E39,0),""))</f>
        <v>HIDROSANITÁRIO</v>
      </c>
      <c r="J38" s="245"/>
      <c r="K38" s="245"/>
      <c r="L38" s="246">
        <f ca="1">IF($E39=0,OFFSET(ORÇAMENTO!C$15,$E38,0),1)</f>
        <v>2</v>
      </c>
      <c r="M38" s="247">
        <f ca="1">IF($E39=-1,0,IF(M$13&lt;=$L38,IF(ISERROR(MATCH(M$13,OFFSET($L38,1,0,ROW($L$164)-ROW($L38)-1),0)),ROW($L$164)-ROW($L38)-1,MATCH(M$13,OFFSET($L38,1,0,ROW($L$164)-ROW($L38)-1),0)-1),0))</f>
        <v>11</v>
      </c>
      <c r="N38" s="247">
        <f ca="1">IF($E39=-1,0,IF(N$13&lt;=$L38,IF(ISERROR(MATCH(N$13,OFFSET($L38,1,0,ROW($L$164)-ROW($L38)-1),0)),ROW($L$164)-ROW($L38)-1,MATCH(N$13,OFFSET($L38,1,0,ROW($L$164)-ROW($L38)-1),0)-1),0))</f>
        <v>2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4795.3500000000004</v>
      </c>
      <c r="S38" s="249" t="s">
        <v>269</v>
      </c>
      <c r="T38" s="250">
        <f t="shared" ref="T38:AE38" ca="1" si="11">IF(AND($Q38=2,ACOMPANHAMENTO="BM"),T39,T40/$R38)</f>
        <v>0</v>
      </c>
      <c r="U38" s="242">
        <f t="shared" ca="1" si="11"/>
        <v>0</v>
      </c>
      <c r="V38" s="242">
        <f t="shared" ca="1" si="11"/>
        <v>0.5</v>
      </c>
      <c r="W38" s="242">
        <f t="shared" ca="1" si="11"/>
        <v>0.5</v>
      </c>
      <c r="X38" s="242">
        <f t="shared" ca="1" si="11"/>
        <v>0</v>
      </c>
      <c r="Y38" s="242">
        <f t="shared" ca="1" si="11"/>
        <v>0</v>
      </c>
      <c r="Z38" s="242">
        <f t="shared" ca="1" si="11"/>
        <v>0</v>
      </c>
      <c r="AA38" s="242">
        <f t="shared" ca="1" si="11"/>
        <v>0</v>
      </c>
      <c r="AB38" s="242">
        <f t="shared" ca="1" si="11"/>
        <v>0</v>
      </c>
      <c r="AC38" s="242">
        <f t="shared" ca="1" si="11"/>
        <v>0</v>
      </c>
      <c r="AD38" s="242">
        <f t="shared" ca="1" si="11"/>
        <v>0</v>
      </c>
      <c r="AE38" s="251">
        <f t="shared" ca="1" si="11"/>
        <v>0</v>
      </c>
    </row>
    <row r="39" spans="1:32" ht="12.75" customHeight="1" x14ac:dyDescent="0.2">
      <c r="D39" s="620"/>
      <c r="E39" s="239">
        <f ca="1">IF(ISERROR(E38),IF(1+COUNTIF($L$13:OFFSET(L38,-1,0),1)&lt;=MAX(QCI!$D$13:$D$24),1+COUNTIF($L$13:OFFSET(L38,-1,0),1),-1),0)</f>
        <v>0</v>
      </c>
      <c r="F39" s="239" t="str">
        <f ca="1">IF(AND($E39&lt;&gt;-1,$R38&gt;0),"F","")</f>
        <v>F</v>
      </c>
      <c r="G39" s="252" t="str">
        <f ca="1">IF(OR(R38=0,R38=""),"vazia",IF(AND(OR(ACOMPANHAMENTO="PLE",$Q38&lt;&gt;2),$E39=0),"calculada","--&gt;"))</f>
        <v>--&gt;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>
        <v>0.5</v>
      </c>
      <c r="W39" s="620">
        <v>0.5</v>
      </c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2$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2397.6750000000002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2397.6750000000002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0</v>
      </c>
      <c r="D41" s="242">
        <f ca="1">IF(AND($Q41=2,ACOMPANHAMENTO="BM"),D42,D43/$R41)</f>
        <v>0</v>
      </c>
      <c r="E41" s="239">
        <f ca="1">IF(A41&lt;=ORÇAMENTO.MáximoListaCrono,MATCH(A41,ORÇAMENTO.ListaCrono,0),NA())</f>
        <v>78</v>
      </c>
      <c r="F41" s="239" t="str">
        <f ca="1">IF(AND($E42&lt;&gt;-1,$R41&gt;0),"F","")</f>
        <v>F</v>
      </c>
      <c r="G41" s="243">
        <f ca="1">IF(OR(R41=0,R41=""),"Linha",IF(AND(OR(ACOMPANHAMENTO="PLE",$Q41&lt;&gt;2),$E42=0),"Linha",1-SUM(T41:AF41)))</f>
        <v>0</v>
      </c>
      <c r="H41" s="244" t="str">
        <f ca="1">IF($E42=0,OFFSET(ORÇAMENTO!O$15,$E41,0),IF($E42&lt;&gt;-1,OFFSET(QCI!$D$13,$E42,0),""))</f>
        <v>1.9.</v>
      </c>
      <c r="I41" s="245" t="str">
        <f ca="1">IF($E42=0,OFFSET(ORÇAMENTO!R$15,$E41,0),IF($E42&lt;&gt;-1,OFFSET(QCI!$G$13,$E42,0),""))</f>
        <v>EQUIPAMENTOS</v>
      </c>
      <c r="J41" s="245"/>
      <c r="K41" s="245"/>
      <c r="L41" s="246">
        <f ca="1">IF($E42=0,OFFSET(ORÇAMENTO!C$15,$E41,0),1)</f>
        <v>2</v>
      </c>
      <c r="M41" s="247">
        <f ca="1">IF($E42=-1,0,IF(M$13&lt;=$L41,IF(ISERROR(MATCH(M$13,OFFSET($L41,1,0,ROW($L$164)-ROW($L41)-1),0)),ROW($L$164)-ROW($L41)-1,MATCH(M$13,OFFSET($L41,1,0,ROW($L$164)-ROW($L41)-1),0)-1),0))</f>
        <v>8</v>
      </c>
      <c r="N41" s="247">
        <f ca="1">IF($E42=-1,0,IF(N$13&lt;=$L41,IF(ISERROR(MATCH(N$13,OFFSET($L41,1,0,ROW($L$164)-ROW($L41)-1),0)),ROW($L$164)-ROW($L41)-1,MATCH(N$13,OFFSET($L41,1,0,ROW($L$164)-ROW($L41)-1),0)-1),0))</f>
        <v>2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8625.89</v>
      </c>
      <c r="S41" s="249" t="s">
        <v>269</v>
      </c>
      <c r="T41" s="250">
        <f t="shared" ref="T41:AE41" ca="1" si="12">IF(AND($Q41=2,ACOMPANHAMENTO="BM"),T42,T43/$R41)</f>
        <v>0</v>
      </c>
      <c r="U41" s="242">
        <f t="shared" ca="1" si="12"/>
        <v>0</v>
      </c>
      <c r="V41" s="242">
        <f t="shared" ca="1" si="12"/>
        <v>0</v>
      </c>
      <c r="W41" s="242">
        <f t="shared" ca="1" si="12"/>
        <v>0.2</v>
      </c>
      <c r="X41" s="242">
        <f t="shared" ca="1" si="12"/>
        <v>0.2</v>
      </c>
      <c r="Y41" s="242">
        <f t="shared" ca="1" si="12"/>
        <v>0.6</v>
      </c>
      <c r="Z41" s="242">
        <f t="shared" ca="1" si="12"/>
        <v>0</v>
      </c>
      <c r="AA41" s="242">
        <f t="shared" ca="1" si="12"/>
        <v>0</v>
      </c>
      <c r="AB41" s="242">
        <f t="shared" ca="1" si="12"/>
        <v>0</v>
      </c>
      <c r="AC41" s="242">
        <f t="shared" ca="1" si="12"/>
        <v>0</v>
      </c>
      <c r="AD41" s="242">
        <f t="shared" ca="1" si="12"/>
        <v>0</v>
      </c>
      <c r="AE41" s="251">
        <f t="shared" ca="1" si="12"/>
        <v>0</v>
      </c>
    </row>
    <row r="42" spans="1:32" ht="12.75" customHeight="1" x14ac:dyDescent="0.2">
      <c r="D42" s="620"/>
      <c r="E42" s="239">
        <f ca="1">IF(ISERROR(E41),IF(1+COUNTIF($L$13:OFFSET(L41,-1,0),1)&lt;=MAX(QCI!$D$13:$D$24),1+COUNTIF($L$13:OFFSET(L41,-1,0),1),-1),0)</f>
        <v>0</v>
      </c>
      <c r="F42" s="239" t="str">
        <f ca="1">IF(AND($E42&lt;&gt;-1,$R41&gt;0),"F","")</f>
        <v>F</v>
      </c>
      <c r="G42" s="252" t="str">
        <f ca="1">IF(OR(R41=0,R41=""),"vazia",IF(AND(OR(ACOMPANHAMENTO="PLE",$Q41&lt;&gt;2),$E42=0),"calculada","--&gt;"))</f>
        <v>--&gt;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>
        <v>0.2</v>
      </c>
      <c r="X42" s="620">
        <v>0.2</v>
      </c>
      <c r="Y42" s="620">
        <v>0.6</v>
      </c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2$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1725.1779999999999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1725.1779999999999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5175.5339999999997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0</v>
      </c>
      <c r="D44" s="242">
        <f ca="1">IF(AND($Q44=2,ACOMPANHAMENTO="BM"),D45,D46/$R44)</f>
        <v>0</v>
      </c>
      <c r="E44" s="239">
        <f ca="1">IF(A44&lt;=ORÇAMENTO.MáximoListaCrono,MATCH(A44,ORÇAMENTO.ListaCrono,0),NA())</f>
        <v>86</v>
      </c>
      <c r="F44" s="239" t="str">
        <f ca="1">IF(AND($E45&lt;&gt;-1,$R44&gt;0),"F","")</f>
        <v>F</v>
      </c>
      <c r="G44" s="243">
        <f ca="1">IF(OR(R44=0,R44=""),"Linha",IF(AND(OR(ACOMPANHAMENTO="PLE",$Q44&lt;&gt;2),$E45=0),"Linha",1-SUM(T44:AF44)))</f>
        <v>0</v>
      </c>
      <c r="H44" s="244" t="str">
        <f ca="1">IF($E45=0,OFFSET(ORÇAMENTO!O$15,$E44,0),IF($E45&lt;&gt;-1,OFFSET(QCI!$D$13,$E45,0),""))</f>
        <v>1.10.</v>
      </c>
      <c r="I44" s="245" t="str">
        <f ca="1">IF($E45=0,OFFSET(ORÇAMENTO!R$15,$E44,0),IF($E45&lt;&gt;-1,OFFSET(QCI!$G$13,$E45,0),""))</f>
        <v>ESQUADRIAS</v>
      </c>
      <c r="J44" s="245"/>
      <c r="K44" s="245"/>
      <c r="L44" s="246">
        <f ca="1">IF($E45=0,OFFSET(ORÇAMENTO!C$15,$E44,0),1)</f>
        <v>2</v>
      </c>
      <c r="M44" s="247">
        <f ca="1">IF($E45=-1,0,IF(M$13&lt;=$L44,IF(ISERROR(MATCH(M$13,OFFSET($L44,1,0,ROW($L$164)-ROW($L44)-1),0)),ROW($L$164)-ROW($L44)-1,MATCH(M$13,OFFSET($L44,1,0,ROW($L$164)-ROW($L44)-1),0)-1),0))</f>
        <v>5</v>
      </c>
      <c r="N44" s="247">
        <f ca="1">IF($E45=-1,0,IF(N$13&lt;=$L44,IF(ISERROR(MATCH(N$13,OFFSET($L44,1,0,ROW($L$164)-ROW($L44)-1),0)),ROW($L$164)-ROW($L44)-1,MATCH(N$13,OFFSET($L44,1,0,ROW($L$164)-ROW($L44)-1),0)-1),0))</f>
        <v>2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14885.75</v>
      </c>
      <c r="S44" s="249" t="s">
        <v>269</v>
      </c>
      <c r="T44" s="250">
        <f t="shared" ref="T44:AE44" ca="1" si="13">IF(AND($Q44=2,ACOMPANHAMENTO="BM"),T45,T46/$R44)</f>
        <v>0</v>
      </c>
      <c r="U44" s="242">
        <f t="shared" ca="1" si="13"/>
        <v>0</v>
      </c>
      <c r="V44" s="242">
        <f t="shared" ca="1" si="13"/>
        <v>0.8</v>
      </c>
      <c r="W44" s="242">
        <f t="shared" ca="1" si="13"/>
        <v>0.2</v>
      </c>
      <c r="X44" s="242">
        <f t="shared" ca="1" si="13"/>
        <v>0</v>
      </c>
      <c r="Y44" s="242">
        <f t="shared" ca="1" si="13"/>
        <v>0</v>
      </c>
      <c r="Z44" s="242">
        <f t="shared" ca="1" si="13"/>
        <v>0</v>
      </c>
      <c r="AA44" s="242">
        <f t="shared" ca="1" si="13"/>
        <v>0</v>
      </c>
      <c r="AB44" s="242">
        <f t="shared" ca="1" si="13"/>
        <v>0</v>
      </c>
      <c r="AC44" s="242">
        <f t="shared" ca="1" si="13"/>
        <v>0</v>
      </c>
      <c r="AD44" s="242">
        <f t="shared" ca="1" si="13"/>
        <v>0</v>
      </c>
      <c r="AE44" s="251">
        <f t="shared" ca="1" si="13"/>
        <v>0</v>
      </c>
    </row>
    <row r="45" spans="1:32" ht="12.75" customHeight="1" x14ac:dyDescent="0.2">
      <c r="D45" s="620"/>
      <c r="E45" s="239">
        <f ca="1">IF(ISERROR(E44),IF(1+COUNTIF($L$13:OFFSET(L44,-1,0),1)&lt;=MAX(QCI!$D$13:$D$24),1+COUNTIF($L$13:OFFSET(L44,-1,0),1),-1),0)</f>
        <v>0</v>
      </c>
      <c r="F45" s="239" t="str">
        <f ca="1">IF(AND($E45&lt;&gt;-1,$R44&gt;0),"F","")</f>
        <v>F</v>
      </c>
      <c r="G45" s="252" t="str">
        <f ca="1">IF(OR(R44=0,R44=""),"vazia",IF(AND(OR(ACOMPANHAMENTO="PLE",$Q44&lt;&gt;2),$E45=0),"calculada","--&gt;"))</f>
        <v>--&gt;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>
        <v>0.8</v>
      </c>
      <c r="W45" s="620">
        <v>0.2</v>
      </c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2$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11908.6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2977.15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0</v>
      </c>
      <c r="D47" s="242">
        <f ca="1">IF(AND($Q47=2,ACOMPANHAMENTO="BM"),D48,D49/$R47)</f>
        <v>0</v>
      </c>
      <c r="E47" s="239">
        <f ca="1">IF(A47&lt;=ORÇAMENTO.MáximoListaCrono,MATCH(A47,ORÇAMENTO.ListaCrono,0),NA())</f>
        <v>103</v>
      </c>
      <c r="F47" s="239" t="str">
        <f ca="1">IF(AND($E48&lt;&gt;-1,$R47&gt;0),"F","")</f>
        <v>F</v>
      </c>
      <c r="G47" s="243">
        <f ca="1">IF(OR(R47=0,R47=""),"Linha",IF(AND(OR(ACOMPANHAMENTO="PLE",$Q47&lt;&gt;2),$E48=0),"Linha",1-SUM(T47:AF47)))</f>
        <v>0</v>
      </c>
      <c r="H47" s="244" t="str">
        <f ca="1">IF($E48=0,OFFSET(ORÇAMENTO!O$15,$E47,0),IF($E48&lt;&gt;-1,OFFSET(QCI!$D$13,$E48,0),""))</f>
        <v>1.11.</v>
      </c>
      <c r="I47" s="245" t="str">
        <f ca="1">IF($E48=0,OFFSET(ORÇAMENTO!R$15,$E47,0),IF($E48&lt;&gt;-1,OFFSET(QCI!$G$13,$E48,0),""))</f>
        <v>SERVIÇOS FINAIS</v>
      </c>
      <c r="J47" s="245"/>
      <c r="K47" s="245"/>
      <c r="L47" s="246">
        <f ca="1">IF($E48=0,OFFSET(ORÇAMENTO!C$15,$E47,0),1)</f>
        <v>2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116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210.1</v>
      </c>
      <c r="S47" s="249" t="s">
        <v>269</v>
      </c>
      <c r="T47" s="250">
        <f t="shared" ref="T47:AE47" ca="1" si="14">IF(AND($Q47=2,ACOMPANHAMENTO="BM"),T48,T49/$R47)</f>
        <v>0</v>
      </c>
      <c r="U47" s="242">
        <f t="shared" ca="1" si="14"/>
        <v>0</v>
      </c>
      <c r="V47" s="242">
        <f t="shared" ca="1" si="14"/>
        <v>0</v>
      </c>
      <c r="W47" s="242">
        <f t="shared" ca="1" si="14"/>
        <v>0</v>
      </c>
      <c r="X47" s="242">
        <f t="shared" ca="1" si="14"/>
        <v>0</v>
      </c>
      <c r="Y47" s="242">
        <f t="shared" ca="1" si="14"/>
        <v>1</v>
      </c>
      <c r="Z47" s="242">
        <f t="shared" ca="1" si="14"/>
        <v>0</v>
      </c>
      <c r="AA47" s="242">
        <f t="shared" ca="1" si="14"/>
        <v>0</v>
      </c>
      <c r="AB47" s="242">
        <f t="shared" ca="1" si="14"/>
        <v>0</v>
      </c>
      <c r="AC47" s="242">
        <f t="shared" ca="1" si="14"/>
        <v>0</v>
      </c>
      <c r="AD47" s="242">
        <f t="shared" ca="1" si="14"/>
        <v>0</v>
      </c>
      <c r="AE47" s="251">
        <f t="shared" ca="1" si="14"/>
        <v>0</v>
      </c>
    </row>
    <row r="48" spans="1:32" ht="12.75" customHeight="1" x14ac:dyDescent="0.2">
      <c r="D48" s="620"/>
      <c r="E48" s="239">
        <f ca="1">IF(ISERROR(E47),IF(1+COUNTIF($L$13:OFFSET(L47,-1,0),1)&lt;=MAX(QCI!$D$13:$D$24),1+COUNTIF($L$13:OFFSET(L47,-1,0),1),-1),0)</f>
        <v>0</v>
      </c>
      <c r="F48" s="239" t="str">
        <f ca="1">IF(AND($E48&lt;&gt;-1,$R47&gt;0),"F","")</f>
        <v>F</v>
      </c>
      <c r="G48" s="252" t="str">
        <f ca="1">IF(OR(R47=0,R47=""),"vazia",IF(AND(OR(ACOMPANHAMENTO="PLE",$Q47&lt;&gt;2),$E48=0),"calculada","--&gt;"))</f>
        <v>--&gt;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>
        <v>0</v>
      </c>
      <c r="X48" s="620"/>
      <c r="Y48" s="620">
        <v>1</v>
      </c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2$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210.1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>
        <f ca="1">IF(AND($Q50=2,ACOMPANHAMENTO="BM"),D51,D52/$R50)</f>
        <v>0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2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>
        <f t="shared" ref="T50:AE50" ca="1" si="15">IF(AND($Q50=2,ACOMPANHAMENTO="BM"),T51,T52/$R50)</f>
        <v>0</v>
      </c>
      <c r="U50" s="242">
        <f t="shared" ca="1" si="15"/>
        <v>0</v>
      </c>
      <c r="V50" s="242">
        <f t="shared" ca="1" si="15"/>
        <v>0</v>
      </c>
      <c r="W50" s="242">
        <f t="shared" ca="1" si="15"/>
        <v>0</v>
      </c>
      <c r="X50" s="242">
        <f t="shared" ca="1" si="15"/>
        <v>0</v>
      </c>
      <c r="Y50" s="242">
        <f t="shared" ca="1" si="15"/>
        <v>0</v>
      </c>
      <c r="Z50" s="242">
        <f t="shared" ca="1" si="15"/>
        <v>0</v>
      </c>
      <c r="AA50" s="242">
        <f t="shared" ca="1" si="15"/>
        <v>0</v>
      </c>
      <c r="AB50" s="242">
        <f t="shared" ca="1" si="15"/>
        <v>0</v>
      </c>
      <c r="AC50" s="242">
        <f t="shared" ca="1" si="15"/>
        <v>0</v>
      </c>
      <c r="AD50" s="242">
        <f t="shared" ca="1" si="15"/>
        <v>0</v>
      </c>
      <c r="AE50" s="251">
        <f t="shared" ca="1" si="15"/>
        <v>0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2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>
        <f ca="1">IF(AND($Q53=2,ACOMPANHAMENTO="BM"),D54,D55/$R53)</f>
        <v>0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3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>
        <f t="shared" ref="T53:AE53" ca="1" si="16">IF(AND($Q53=2,ACOMPANHAMENTO="BM"),T54,T55/$R53)</f>
        <v>0</v>
      </c>
      <c r="U53" s="242">
        <f t="shared" ca="1" si="16"/>
        <v>0</v>
      </c>
      <c r="V53" s="242">
        <f t="shared" ca="1" si="16"/>
        <v>0</v>
      </c>
      <c r="W53" s="242">
        <f t="shared" ca="1" si="16"/>
        <v>0</v>
      </c>
      <c r="X53" s="242">
        <f t="shared" ca="1" si="16"/>
        <v>0</v>
      </c>
      <c r="Y53" s="242">
        <f t="shared" ca="1" si="16"/>
        <v>0</v>
      </c>
      <c r="Z53" s="242">
        <f t="shared" ca="1" si="16"/>
        <v>0</v>
      </c>
      <c r="AA53" s="242">
        <f t="shared" ca="1" si="16"/>
        <v>0</v>
      </c>
      <c r="AB53" s="242">
        <f t="shared" ca="1" si="16"/>
        <v>0</v>
      </c>
      <c r="AC53" s="242">
        <f t="shared" ca="1" si="16"/>
        <v>0</v>
      </c>
      <c r="AD53" s="242">
        <f t="shared" ca="1" si="16"/>
        <v>0</v>
      </c>
      <c r="AE53" s="251">
        <f t="shared" ca="1" si="16"/>
        <v>0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3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>
        <f ca="1">IF(AND($Q56=2,ACOMPANHAMENTO="BM"),D57,D58/$R56)</f>
        <v>0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4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>
        <f t="shared" ref="T56:AE56" ca="1" si="17">IF(AND($Q56=2,ACOMPANHAMENTO="BM"),T57,T58/$R56)</f>
        <v>0</v>
      </c>
      <c r="U56" s="242">
        <f t="shared" ca="1" si="17"/>
        <v>0</v>
      </c>
      <c r="V56" s="242">
        <f t="shared" ca="1" si="17"/>
        <v>0</v>
      </c>
      <c r="W56" s="242">
        <f t="shared" ca="1" si="17"/>
        <v>0</v>
      </c>
      <c r="X56" s="242">
        <f t="shared" ca="1" si="17"/>
        <v>0</v>
      </c>
      <c r="Y56" s="242">
        <f t="shared" ca="1" si="17"/>
        <v>0</v>
      </c>
      <c r="Z56" s="242">
        <f t="shared" ca="1" si="17"/>
        <v>0</v>
      </c>
      <c r="AA56" s="242">
        <f t="shared" ca="1" si="17"/>
        <v>0</v>
      </c>
      <c r="AB56" s="242">
        <f t="shared" ca="1" si="17"/>
        <v>0</v>
      </c>
      <c r="AC56" s="242">
        <f t="shared" ca="1" si="17"/>
        <v>0</v>
      </c>
      <c r="AD56" s="242">
        <f t="shared" ca="1" si="17"/>
        <v>0</v>
      </c>
      <c r="AE56" s="251">
        <f t="shared" ca="1" si="17"/>
        <v>0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4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1</v>
      </c>
      <c r="C59" s="239">
        <f ca="1">IF($Q59&lt;&gt;2,0,IF($R59=0,1,IF(E60&gt;0,OFFSET(QCI!$N$13,SUBSTITUTE(E60,".",""),0),OFFSET(ORÇAMENTO!$AB$15,CRONO!$E59,0))/$R59))</f>
        <v>1</v>
      </c>
      <c r="D59" s="242">
        <f ca="1">IF(AND($Q59=2,ACOMPANHAMENTO="BM"),D60,D61/$R59)</f>
        <v>0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>
        <f ca="1">IF($E60=0,OFFSET(ORÇAMENTO!O$15,$E59,0),IF($E60&lt;&gt;-1,OFFSET(QCI!$D$13,$E60,0),""))</f>
        <v>5</v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2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2</v>
      </c>
      <c r="R59" s="248">
        <f ca="1">IF($E60=0,OFFSET(ORÇAMENTO!X$15,$E59,0),IF($E60&lt;&gt;-1,OFFSET(QCI!$O$13,$E60,0),""))</f>
        <v>0</v>
      </c>
      <c r="S59" s="249" t="s">
        <v>269</v>
      </c>
      <c r="T59" s="250">
        <f t="shared" ref="T59:AE59" ca="1" si="18">IF(AND($Q59=2,ACOMPANHAMENTO="BM"),T60,T61/$R59)</f>
        <v>0</v>
      </c>
      <c r="U59" s="242">
        <f t="shared" ca="1" si="18"/>
        <v>0</v>
      </c>
      <c r="V59" s="242">
        <f t="shared" ca="1" si="18"/>
        <v>0</v>
      </c>
      <c r="W59" s="242">
        <f t="shared" ca="1" si="18"/>
        <v>0</v>
      </c>
      <c r="X59" s="242">
        <f t="shared" ca="1" si="18"/>
        <v>0</v>
      </c>
      <c r="Y59" s="242">
        <f t="shared" ca="1" si="18"/>
        <v>0</v>
      </c>
      <c r="Z59" s="242">
        <f t="shared" ca="1" si="18"/>
        <v>0</v>
      </c>
      <c r="AA59" s="242">
        <f t="shared" ca="1" si="18"/>
        <v>0</v>
      </c>
      <c r="AB59" s="242">
        <f t="shared" ca="1" si="18"/>
        <v>0</v>
      </c>
      <c r="AC59" s="242">
        <f t="shared" ca="1" si="18"/>
        <v>0</v>
      </c>
      <c r="AD59" s="242">
        <f t="shared" ca="1" si="18"/>
        <v>0</v>
      </c>
      <c r="AE59" s="251">
        <f t="shared" ca="1" si="18"/>
        <v>0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5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1</v>
      </c>
      <c r="C62" s="239">
        <f ca="1">IF($Q62&lt;&gt;2,0,IF($R62=0,1,IF(E63&gt;0,OFFSET(QCI!$N$13,SUBSTITUTE(E63,".",""),0),OFFSET(ORÇAMENTO!$AB$15,CRONO!$E62,0))/$R62))</f>
        <v>1</v>
      </c>
      <c r="D62" s="242">
        <f ca="1">IF(AND($Q62=2,ACOMPANHAMENTO="BM"),D63,D64/$R62)</f>
        <v>0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>
        <f ca="1">IF($E63=0,OFFSET(ORÇAMENTO!O$15,$E62,0),IF($E63&lt;&gt;-1,OFFSET(QCI!$D$13,$E63,0),""))</f>
        <v>6</v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2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2</v>
      </c>
      <c r="R62" s="248">
        <f ca="1">IF($E63=0,OFFSET(ORÇAMENTO!X$15,$E62,0),IF($E63&lt;&gt;-1,OFFSET(QCI!$O$13,$E63,0),""))</f>
        <v>0</v>
      </c>
      <c r="S62" s="249" t="s">
        <v>269</v>
      </c>
      <c r="T62" s="250">
        <f t="shared" ref="T62:AE62" ca="1" si="19">IF(AND($Q62=2,ACOMPANHAMENTO="BM"),T63,T64/$R62)</f>
        <v>0</v>
      </c>
      <c r="U62" s="242">
        <f t="shared" ca="1" si="19"/>
        <v>0</v>
      </c>
      <c r="V62" s="242">
        <f t="shared" ca="1" si="19"/>
        <v>0</v>
      </c>
      <c r="W62" s="242">
        <f t="shared" ca="1" si="19"/>
        <v>0</v>
      </c>
      <c r="X62" s="242">
        <f t="shared" ca="1" si="19"/>
        <v>0</v>
      </c>
      <c r="Y62" s="242">
        <f t="shared" ca="1" si="19"/>
        <v>0</v>
      </c>
      <c r="Z62" s="242">
        <f t="shared" ca="1" si="19"/>
        <v>0</v>
      </c>
      <c r="AA62" s="242">
        <f t="shared" ca="1" si="19"/>
        <v>0</v>
      </c>
      <c r="AB62" s="242">
        <f t="shared" ca="1" si="19"/>
        <v>0</v>
      </c>
      <c r="AC62" s="242">
        <f t="shared" ca="1" si="19"/>
        <v>0</v>
      </c>
      <c r="AD62" s="242">
        <f t="shared" ca="1" si="19"/>
        <v>0</v>
      </c>
      <c r="AE62" s="251">
        <f t="shared" ca="1" si="19"/>
        <v>0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6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1</v>
      </c>
      <c r="C65" s="239">
        <f ca="1">IF($Q65&lt;&gt;2,0,IF($R65=0,1,IF(E66&gt;0,OFFSET(QCI!$N$13,SUBSTITUTE(E66,".",""),0),OFFSET(ORÇAMENTO!$AB$15,CRONO!$E65,0))/$R65))</f>
        <v>1</v>
      </c>
      <c r="D65" s="242">
        <f ca="1">IF(AND($Q65=2,ACOMPANHAMENTO="BM"),D66,D67/$R65)</f>
        <v>0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>
        <f ca="1">IF($E66=0,OFFSET(ORÇAMENTO!O$15,$E65,0),IF($E66&lt;&gt;-1,OFFSET(QCI!$D$13,$E66,0),""))</f>
        <v>7</v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2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2</v>
      </c>
      <c r="R65" s="248">
        <f ca="1">IF($E66=0,OFFSET(ORÇAMENTO!X$15,$E65,0),IF($E66&lt;&gt;-1,OFFSET(QCI!$O$13,$E66,0),""))</f>
        <v>0</v>
      </c>
      <c r="S65" s="249" t="s">
        <v>269</v>
      </c>
      <c r="T65" s="250">
        <f t="shared" ref="T65:AE65" ca="1" si="20">IF(AND($Q65=2,ACOMPANHAMENTO="BM"),T66,T67/$R65)</f>
        <v>0</v>
      </c>
      <c r="U65" s="242">
        <f t="shared" ca="1" si="20"/>
        <v>0</v>
      </c>
      <c r="V65" s="242">
        <f t="shared" ca="1" si="20"/>
        <v>0</v>
      </c>
      <c r="W65" s="242">
        <f t="shared" ca="1" si="20"/>
        <v>0</v>
      </c>
      <c r="X65" s="242">
        <f t="shared" ca="1" si="20"/>
        <v>0</v>
      </c>
      <c r="Y65" s="242">
        <f t="shared" ca="1" si="20"/>
        <v>0</v>
      </c>
      <c r="Z65" s="242">
        <f t="shared" ca="1" si="20"/>
        <v>0</v>
      </c>
      <c r="AA65" s="242">
        <f t="shared" ca="1" si="20"/>
        <v>0</v>
      </c>
      <c r="AB65" s="242">
        <f t="shared" ca="1" si="20"/>
        <v>0</v>
      </c>
      <c r="AC65" s="242">
        <f t="shared" ca="1" si="20"/>
        <v>0</v>
      </c>
      <c r="AD65" s="242">
        <f t="shared" ca="1" si="20"/>
        <v>0</v>
      </c>
      <c r="AE65" s="251">
        <f t="shared" ca="1" si="20"/>
        <v>0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7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1</v>
      </c>
      <c r="C68" s="239">
        <f ca="1">IF($Q68&lt;&gt;2,0,IF($R68=0,1,IF(E69&gt;0,OFFSET(QCI!$N$13,SUBSTITUTE(E69,".",""),0),OFFSET(ORÇAMENTO!$AB$15,CRONO!$E68,0))/$R68))</f>
        <v>1</v>
      </c>
      <c r="D68" s="242">
        <f ca="1">IF(AND($Q68=2,ACOMPANHAMENTO="BM"),D69,D70/$R68)</f>
        <v>0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>
        <f ca="1">IF($E69=0,OFFSET(ORÇAMENTO!O$15,$E68,0),IF($E69&lt;&gt;-1,OFFSET(QCI!$D$13,$E69,0),""))</f>
        <v>8</v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2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2</v>
      </c>
      <c r="R68" s="248">
        <f ca="1">IF($E69=0,OFFSET(ORÇAMENTO!X$15,$E68,0),IF($E69&lt;&gt;-1,OFFSET(QCI!$O$13,$E69,0),""))</f>
        <v>0</v>
      </c>
      <c r="S68" s="249" t="s">
        <v>269</v>
      </c>
      <c r="T68" s="250">
        <f t="shared" ref="T68:AE68" ca="1" si="21">IF(AND($Q68=2,ACOMPANHAMENTO="BM"),T69,T70/$R68)</f>
        <v>0</v>
      </c>
      <c r="U68" s="242">
        <f t="shared" ca="1" si="21"/>
        <v>0</v>
      </c>
      <c r="V68" s="242">
        <f t="shared" ca="1" si="21"/>
        <v>0</v>
      </c>
      <c r="W68" s="242">
        <f t="shared" ca="1" si="21"/>
        <v>0</v>
      </c>
      <c r="X68" s="242">
        <f t="shared" ca="1" si="21"/>
        <v>0</v>
      </c>
      <c r="Y68" s="242">
        <f t="shared" ca="1" si="21"/>
        <v>0</v>
      </c>
      <c r="Z68" s="242">
        <f t="shared" ca="1" si="21"/>
        <v>0</v>
      </c>
      <c r="AA68" s="242">
        <f t="shared" ca="1" si="21"/>
        <v>0</v>
      </c>
      <c r="AB68" s="242">
        <f t="shared" ca="1" si="21"/>
        <v>0</v>
      </c>
      <c r="AC68" s="242">
        <f t="shared" ca="1" si="21"/>
        <v>0</v>
      </c>
      <c r="AD68" s="242">
        <f t="shared" ca="1" si="21"/>
        <v>0</v>
      </c>
      <c r="AE68" s="251">
        <f t="shared" ca="1" si="21"/>
        <v>0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8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1</v>
      </c>
      <c r="C71" s="239">
        <f ca="1">IF($Q71&lt;&gt;2,0,IF($R71=0,1,IF(E72&gt;0,OFFSET(QCI!$N$13,SUBSTITUTE(E72,".",""),0),OFFSET(ORÇAMENTO!$AB$15,CRONO!$E71,0))/$R71))</f>
        <v>1</v>
      </c>
      <c r="D71" s="242">
        <f ca="1">IF(AND($Q71=2,ACOMPANHAMENTO="BM"),D72,D73/$R71)</f>
        <v>0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>
        <f ca="1">IF($E72=0,OFFSET(ORÇAMENTO!O$15,$E71,0),IF($E72&lt;&gt;-1,OFFSET(QCI!$D$13,$E72,0),""))</f>
        <v>9</v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2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2</v>
      </c>
      <c r="R71" s="248">
        <f ca="1">IF($E72=0,OFFSET(ORÇAMENTO!X$15,$E71,0),IF($E72&lt;&gt;-1,OFFSET(QCI!$O$13,$E72,0),""))</f>
        <v>0</v>
      </c>
      <c r="S71" s="249" t="s">
        <v>269</v>
      </c>
      <c r="T71" s="250">
        <f t="shared" ref="T71:AE71" ca="1" si="22">IF(AND($Q71=2,ACOMPANHAMENTO="BM"),T72,T73/$R71)</f>
        <v>0</v>
      </c>
      <c r="U71" s="242">
        <f t="shared" ca="1" si="22"/>
        <v>0</v>
      </c>
      <c r="V71" s="242">
        <f t="shared" ca="1" si="22"/>
        <v>0</v>
      </c>
      <c r="W71" s="242">
        <f t="shared" ca="1" si="22"/>
        <v>0</v>
      </c>
      <c r="X71" s="242">
        <f t="shared" ca="1" si="22"/>
        <v>0</v>
      </c>
      <c r="Y71" s="242">
        <f t="shared" ca="1" si="22"/>
        <v>0</v>
      </c>
      <c r="Z71" s="242">
        <f t="shared" ca="1" si="22"/>
        <v>0</v>
      </c>
      <c r="AA71" s="242">
        <f t="shared" ca="1" si="22"/>
        <v>0</v>
      </c>
      <c r="AB71" s="242">
        <f t="shared" ca="1" si="22"/>
        <v>0</v>
      </c>
      <c r="AC71" s="242">
        <f t="shared" ca="1" si="22"/>
        <v>0</v>
      </c>
      <c r="AD71" s="242">
        <f t="shared" ca="1" si="22"/>
        <v>0</v>
      </c>
      <c r="AE71" s="251">
        <f t="shared" ca="1" si="22"/>
        <v>0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9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1</v>
      </c>
      <c r="C74" s="239">
        <f ca="1">IF($Q74&lt;&gt;2,0,IF($R74=0,1,IF(E75&gt;0,OFFSET(QCI!$N$13,SUBSTITUTE(E75,".",""),0),OFFSET(ORÇAMENTO!$AB$15,CRONO!$E74,0))/$R74))</f>
        <v>1</v>
      </c>
      <c r="D74" s="242">
        <f ca="1">IF(AND($Q74=2,ACOMPANHAMENTO="BM"),D75,D76/$R74)</f>
        <v>0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>
        <f ca="1">IF($E75=0,OFFSET(ORÇAMENTO!O$15,$E74,0),IF($E75&lt;&gt;-1,OFFSET(QCI!$D$13,$E75,0),""))</f>
        <v>10</v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2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2</v>
      </c>
      <c r="R74" s="248">
        <f ca="1">IF($E75=0,OFFSET(ORÇAMENTO!X$15,$E74,0),IF($E75&lt;&gt;-1,OFFSET(QCI!$O$13,$E75,0),""))</f>
        <v>0</v>
      </c>
      <c r="S74" s="249" t="s">
        <v>269</v>
      </c>
      <c r="T74" s="250">
        <f t="shared" ref="T74:AE74" ca="1" si="23">IF(AND($Q74=2,ACOMPANHAMENTO="BM"),T75,T76/$R74)</f>
        <v>0</v>
      </c>
      <c r="U74" s="242">
        <f t="shared" ca="1" si="23"/>
        <v>0</v>
      </c>
      <c r="V74" s="242">
        <f t="shared" ca="1" si="23"/>
        <v>0</v>
      </c>
      <c r="W74" s="242">
        <f t="shared" ca="1" si="23"/>
        <v>0</v>
      </c>
      <c r="X74" s="242">
        <f t="shared" ca="1" si="23"/>
        <v>0</v>
      </c>
      <c r="Y74" s="242">
        <f t="shared" ca="1" si="23"/>
        <v>0</v>
      </c>
      <c r="Z74" s="242">
        <f t="shared" ca="1" si="23"/>
        <v>0</v>
      </c>
      <c r="AA74" s="242">
        <f t="shared" ca="1" si="23"/>
        <v>0</v>
      </c>
      <c r="AB74" s="242">
        <f t="shared" ca="1" si="23"/>
        <v>0</v>
      </c>
      <c r="AC74" s="242">
        <f t="shared" ca="1" si="23"/>
        <v>0</v>
      </c>
      <c r="AD74" s="242">
        <f t="shared" ca="1" si="23"/>
        <v>0</v>
      </c>
      <c r="AE74" s="251">
        <f t="shared" ca="1" si="23"/>
        <v>0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10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</v>
      </c>
      <c r="F165" s="239" t="s">
        <v>245</v>
      </c>
      <c r="H165" s="717" t="str">
        <f ca="1">"Total:    R$ "&amp;TEXT(Q165,"#.##0,00")</f>
        <v>Total:    R$ 137.954,58</v>
      </c>
      <c r="I165" s="717"/>
      <c r="J165" s="717"/>
      <c r="K165" s="291"/>
      <c r="Q165" s="292">
        <f ca="1">SUMIF(L12:L164,1,R12:R164)</f>
        <v>137954.57999999999</v>
      </c>
      <c r="R165" s="293"/>
      <c r="S165" s="294" t="s">
        <v>281</v>
      </c>
      <c r="T165" s="295">
        <f t="shared" ref="T165:AE165" ca="1" si="53">ROUND(T169,2)/$Q$165</f>
        <v>0.10726842124415152</v>
      </c>
      <c r="U165" s="296">
        <f t="shared" ca="1" si="53"/>
        <v>0.2076836448634036</v>
      </c>
      <c r="V165" s="296">
        <f t="shared" ca="1" si="53"/>
        <v>0.33166481315806989</v>
      </c>
      <c r="W165" s="296">
        <f t="shared" ca="1" si="53"/>
        <v>0.23697603950517629</v>
      </c>
      <c r="X165" s="296">
        <f t="shared" ca="1" si="53"/>
        <v>7.7367927907866493E-2</v>
      </c>
      <c r="Y165" s="296">
        <f t="shared" ca="1" si="53"/>
        <v>3.9039153321332287E-2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17"/>
      <c r="I166" s="717"/>
      <c r="J166" s="717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0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14798.17</v>
      </c>
      <c r="U167" s="309">
        <f t="shared" ref="U167:AE167" ca="1" si="55">ROUND(U172,2)-ROUND(T172,2)</f>
        <v>28650.910000000003</v>
      </c>
      <c r="V167" s="309">
        <f t="shared" ca="1" si="55"/>
        <v>45754.679999999993</v>
      </c>
      <c r="W167" s="309">
        <f t="shared" ca="1" si="55"/>
        <v>32691.930000000008</v>
      </c>
      <c r="X167" s="309">
        <f t="shared" ca="1" si="55"/>
        <v>10673.260000000009</v>
      </c>
      <c r="Y167" s="309">
        <f t="shared" ca="1" si="55"/>
        <v>5385.6299999999756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0</v>
      </c>
      <c r="F169" s="239" t="s">
        <v>245</v>
      </c>
      <c r="K169" s="317"/>
      <c r="R169" s="318"/>
      <c r="S169" s="319" t="s">
        <v>285</v>
      </c>
      <c r="T169" s="320">
        <f ca="1">ROUND(T174,2)</f>
        <v>14798.17</v>
      </c>
      <c r="U169" s="321">
        <f t="shared" ref="U169:AE169" ca="1" si="57">ROUND(U174,2)-ROUND(T174,2)</f>
        <v>28650.910000000003</v>
      </c>
      <c r="V169" s="321">
        <f t="shared" ca="1" si="57"/>
        <v>45754.679999999993</v>
      </c>
      <c r="W169" s="321">
        <f t="shared" ca="1" si="57"/>
        <v>32691.930000000008</v>
      </c>
      <c r="X169" s="321">
        <f t="shared" ca="1" si="57"/>
        <v>10673.260000000009</v>
      </c>
      <c r="Y169" s="321">
        <f t="shared" ca="1" si="57"/>
        <v>5385.6299999999756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0.10726842124415152</v>
      </c>
      <c r="U170" s="296">
        <f t="shared" ref="U170:AE170" ca="1" si="58">ROUND(U174,2)/$Q$165</f>
        <v>0.31495206610755516</v>
      </c>
      <c r="V170" s="296">
        <f t="shared" ca="1" si="58"/>
        <v>0.64661687926562494</v>
      </c>
      <c r="W170" s="296">
        <f t="shared" ca="1" si="58"/>
        <v>0.88359291877080137</v>
      </c>
      <c r="X170" s="296">
        <f t="shared" ca="1" si="58"/>
        <v>0.96096084667866788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0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14798.164999999999</v>
      </c>
      <c r="U172" s="309">
        <f t="array" aca="1" ref="U172" ca="1">T172+SUM((OFFSET($B$13,1,0):OFFSET($B$164,-3,0))*IF(ISNUMBER(OFFSET(U$11,5,0):OFFSET(U$164,-1,0)),OFFSET(U$11,5,0):OFFSET(U$164,-1,0),0))</f>
        <v>43449.074999999997</v>
      </c>
      <c r="V172" s="309">
        <f t="array" aca="1" ref="V172" ca="1">U172+SUM((OFFSET($B$13,1,0):OFFSET($B$164,-3,0))*IF(ISNUMBER(OFFSET(V$11,5,0):OFFSET(V$164,-1,0)),OFFSET(V$11,5,0):OFFSET(V$164,-1,0),0))</f>
        <v>89203.76</v>
      </c>
      <c r="W172" s="309">
        <f t="array" aca="1" ref="W172" ca="1">V172+SUM((OFFSET($B$13,1,0):OFFSET($B$164,-3,0))*IF(ISNUMBER(OFFSET(W$11,5,0):OFFSET(W$164,-1,0)),OFFSET(W$11,5,0):OFFSET(W$164,-1,0),0))</f>
        <v>121895.693</v>
      </c>
      <c r="X172" s="309">
        <f t="array" aca="1" ref="X172" ca="1">W172+SUM((OFFSET($B$13,1,0):OFFSET($B$164,-3,0))*IF(ISNUMBER(OFFSET(X$11,5,0):OFFSET(X$164,-1,0)),OFFSET(X$11,5,0):OFFSET(X$164,-1,0),0))</f>
        <v>132568.946</v>
      </c>
      <c r="Y172" s="309">
        <f t="array" aca="1" ref="Y172" ca="1">X172+SUM((OFFSET($B$13,1,0):OFFSET($B$164,-3,0))*IF(ISNUMBER(OFFSET(Y$11,5,0):OFFSET(Y$164,-1,0)),OFFSET(Y$11,5,0):OFFSET(Y$164,-1,0),0))</f>
        <v>137954.57999999999</v>
      </c>
      <c r="Z172" s="309">
        <f t="array" aca="1" ref="Z172" ca="1">Y172+SUM((OFFSET($B$13,1,0):OFFSET($B$164,-3,0))*IF(ISNUMBER(OFFSET(Z$11,5,0):OFFSET(Z$164,-1,0)),OFFSET(Z$11,5,0):OFFSET(Z$164,-1,0),0))</f>
        <v>137954.57999999999</v>
      </c>
      <c r="AA172" s="309">
        <f t="array" aca="1" ref="AA172" ca="1">Z172+SUM((OFFSET($B$13,1,0):OFFSET($B$164,-3,0))*IF(ISNUMBER(OFFSET(AA$11,5,0):OFFSET(AA$164,-1,0)),OFFSET(AA$11,5,0):OFFSET(AA$164,-1,0),0))</f>
        <v>137954.57999999999</v>
      </c>
      <c r="AB172" s="309">
        <f t="array" aca="1" ref="AB172" ca="1">AA172+SUM((OFFSET($B$13,1,0):OFFSET($B$164,-3,0))*IF(ISNUMBER(OFFSET(AB$11,5,0):OFFSET(AB$164,-1,0)),OFFSET(AB$11,5,0):OFFSET(AB$164,-1,0),0))</f>
        <v>137954.57999999999</v>
      </c>
      <c r="AC172" s="309">
        <f t="array" aca="1" ref="AC172" ca="1">AB172+SUM((OFFSET($B$13,1,0):OFFSET($B$164,-3,0))*IF(ISNUMBER(OFFSET(AC$11,5,0):OFFSET(AC$164,-1,0)),OFFSET(AC$11,5,0):OFFSET(AC$164,-1,0),0))</f>
        <v>137954.57999999999</v>
      </c>
      <c r="AD172" s="309">
        <f t="array" aca="1" ref="AD172" ca="1">AC172+SUM((OFFSET($B$13,1,0):OFFSET($B$164,-3,0))*IF(ISNUMBER(OFFSET(AD$11,5,0):OFFSET(AD$164,-1,0)),OFFSET(AD$11,5,0):OFFSET(AD$164,-1,0),0))</f>
        <v>137954.57999999999</v>
      </c>
      <c r="AE172" s="310">
        <f t="array" aca="1" ref="AE172" ca="1">AD172+SUM((OFFSET($B$13,1,0):OFFSET($B$164,-3,0))*IF(ISNUMBER(OFFSET(AE$11,5,0):OFFSET(AE$164,-1,0)),OFFSET(AE$11,5,0):OFFSET(AE$164,-1,0),0))</f>
        <v>137954.57999999999</v>
      </c>
      <c r="AF172" s="240">
        <f ca="1">AE172+SUMPRODUCT((OFFSET($C$13,1,0):OFFSET($C$164,-3,0))*IF(ISNUMBER(OFFSET(AF$11,5,0):OFFSET(AF$164,-1,0)),OFFSET(AF$11,5,0):OFFSET(AF$164,-1,0),0))</f>
        <v>137954.57999999999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0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14798.164999999999</v>
      </c>
      <c r="U174" s="321">
        <f t="shared" ref="U174:AF174" ca="1" si="60">T174+SUMIF($R$12:$R$164,"1$",U12:U164)</f>
        <v>43449.074999999997</v>
      </c>
      <c r="V174" s="321">
        <f t="shared" ca="1" si="60"/>
        <v>89203.76</v>
      </c>
      <c r="W174" s="321">
        <f t="shared" ca="1" si="60"/>
        <v>121895.693</v>
      </c>
      <c r="X174" s="321">
        <f t="shared" ca="1" si="60"/>
        <v>132568.946</v>
      </c>
      <c r="Y174" s="321">
        <f t="shared" ca="1" si="60"/>
        <v>137954.57999999999</v>
      </c>
      <c r="Z174" s="321">
        <f t="shared" ca="1" si="60"/>
        <v>137954.57999999999</v>
      </c>
      <c r="AA174" s="321">
        <f t="shared" ca="1" si="60"/>
        <v>137954.57999999999</v>
      </c>
      <c r="AB174" s="321">
        <f t="shared" ca="1" si="60"/>
        <v>137954.57999999999</v>
      </c>
      <c r="AC174" s="321">
        <f t="shared" ca="1" si="60"/>
        <v>137954.57999999999</v>
      </c>
      <c r="AD174" s="321">
        <f t="shared" ca="1" si="60"/>
        <v>137954.57999999999</v>
      </c>
      <c r="AE174" s="322">
        <f t="shared" ca="1" si="60"/>
        <v>137954.57999999999</v>
      </c>
      <c r="AF174" s="240">
        <f t="shared" ca="1" si="60"/>
        <v>137954.57999999999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698" t="str">
        <f>Import.Município</f>
        <v>CÉU AZUL</v>
      </c>
      <c r="I176" s="698"/>
      <c r="J176" s="698"/>
      <c r="K176" s="698"/>
      <c r="L176" s="698"/>
      <c r="M176" s="698"/>
      <c r="N176" s="698"/>
      <c r="O176" s="698"/>
      <c r="P176" s="698"/>
      <c r="Q176" s="698"/>
      <c r="R176" s="698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ALESSANDRO SANFELIZ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21">
        <f>DADOS!$F$25</f>
        <v>44110</v>
      </c>
      <c r="I179" s="721"/>
      <c r="J179" s="721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A137617-9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algorithmName="SHA-512" hashValue="Goqo0P19RBo1nrCgGlzc72K6TBq3T08HAGWzBeCjLVqE/DHl2hkSuCNR59sj16F7MwmsKm0sv2Cg6FA1iUXcOg==" saltValue="vTfk44UOx+T/Apuesurz4Q==" spinCount="100000"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40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C11" sqref="C11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>NO ACOMPANHAMENTO POR BM, UTILIZE A ABA CRONO</v>
      </c>
    </row>
    <row r="11" spans="1:31" ht="65.25" customHeight="1" x14ac:dyDescent="0.2">
      <c r="A11" s="331"/>
      <c r="C11" s="332"/>
      <c r="E11" s="333">
        <f ca="1">IF(E$12&gt;CÁLCULO.NúmeroDeFrentes,"",OFFSET(CÁLCULO!$P$12,0,E$12))</f>
        <v>0</v>
      </c>
      <c r="G11" s="333">
        <f ca="1">IF(G$12&gt;CÁLCULO.NúmeroDeFrentes,"",OFFSET(CÁLCULO!$P$12,0,G$12))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PRELIMINARES</v>
      </c>
      <c r="E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FUNDAÇÃO E ESTRUTURA</v>
      </c>
      <c r="E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PAREDES E FECHAMENTOS</v>
      </c>
      <c r="E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COBERTURA</v>
      </c>
      <c r="E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REVESTIMENTOS DE PISOS</v>
      </c>
      <c r="E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>F</v>
      </c>
      <c r="B21" s="327">
        <f t="shared" ca="1" si="1"/>
        <v>7</v>
      </c>
      <c r="C21" s="328" t="str">
        <f ca="1">IF(AUTOEVENTO="Manual",IF($B21&lt;&gt;1,OFFSET(EVENTOS!$D$14,$B21,0),0),IF(B21&lt;=MAX(CÁLCULO!$M$15:$M$266),VLOOKUP($B21,CÁLCULO!$M$15:$N$266,2,FALSE),0))</f>
        <v>REVESTIMENTOS DE PAREDES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>F</v>
      </c>
      <c r="B22" s="327">
        <f t="shared" ca="1" si="1"/>
        <v>8</v>
      </c>
      <c r="C22" s="328" t="str">
        <f ca="1">IF(AUTOEVENTO="Manual",IF($B22&lt;&gt;1,OFFSET(EVENTOS!$D$14,$B22,0),0),IF(B22&lt;=MAX(CÁLCULO!$M$15:$M$266),VLOOKUP($B22,CÁLCULO!$M$15:$N$266,2,FALSE),0))</f>
        <v>ELETRICA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>F</v>
      </c>
      <c r="B23" s="327">
        <f t="shared" ca="1" si="1"/>
        <v>9</v>
      </c>
      <c r="C23" s="328" t="str">
        <f ca="1">IF(AUTOEVENTO="Manual",IF($B23&lt;&gt;1,OFFSET(EVENTOS!$D$14,$B23,0),0),IF(B23&lt;=MAX(CÁLCULO!$M$15:$M$266),VLOOKUP($B23,CÁLCULO!$M$15:$N$266,2,FALSE),0))</f>
        <v>HIDROSANITÁRIO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>F</v>
      </c>
      <c r="B24" s="327">
        <f t="shared" ca="1" si="1"/>
        <v>10</v>
      </c>
      <c r="C24" s="328" t="str">
        <f ca="1">IF(AUTOEVENTO="Manual",IF($B24&lt;&gt;1,OFFSET(EVENTOS!$D$14,$B24,0),0),IF(B24&lt;=MAX(CÁLCULO!$M$15:$M$266),VLOOKUP($B24,CÁLCULO!$M$15:$N$266,2,FALSE),0))</f>
        <v>EQUIPAMENTOS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>F</v>
      </c>
      <c r="B25" s="327">
        <f t="shared" ca="1" si="1"/>
        <v>11</v>
      </c>
      <c r="C25" s="328" t="str">
        <f ca="1">IF(AUTOEVENTO="Manual",IF($B25&lt;&gt;1,OFFSET(EVENTOS!$D$14,$B25,0),0),IF(B25&lt;=MAX(CÁLCULO!$M$15:$M$266),VLOOKUP($B25,CÁLCULO!$M$15:$N$266,2,FALSE),0))</f>
        <v>ESQUADRIAS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>F</v>
      </c>
      <c r="B26" s="327">
        <f t="shared" ca="1" si="1"/>
        <v>12</v>
      </c>
      <c r="C26" s="328" t="str">
        <f ca="1">IF(AUTOEVENTO="Manual",IF($B26&lt;&gt;1,OFFSET(EVENTOS!$D$14,$B26,0),0),IF(B26&lt;=MAX(CÁLCULO!$M$15:$M$266),VLOOKUP($B26,CÁLCULO!$M$15:$N$266,2,FALSE),0))</f>
        <v>SERVIÇOS FINAIS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algorithmName="SHA-512" hashValue="Ie3JhQralCDGoEReIfBP0ofxf644zUr3BJBGJzWXlawjjyGS6dycZuBXPxVU9C3IyGEnMLc7U9ORkQUqzKt7sQ==" saltValue="Op+0JyOeLQZzbtMKYcg5xA==" spinCount="100000" sheet="1" autoFilter="0"/>
  <mergeCells count="2">
    <mergeCell ref="B12:B13"/>
    <mergeCell ref="C12:C13"/>
  </mergeCells>
  <phoneticPr fontId="40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D7" sqref="D7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28" t="e">
        <f ca="1">IF(AUTOEVENTO="Manual",IF($B1&lt;&gt;1,OFFSET(EVENTOS!$D$14,$B1,0),0),IF(B1&lt;=MAX(CÁLCULO!$M$15:$M$266),VLOOKUP($B1,CÁLCULO!$M$15:$N$266,2,FALSE),0))</f>
        <v>#REF!</v>
      </c>
      <c r="D1" s="728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64" t="s">
        <v>139</v>
      </c>
      <c r="AE3" s="664"/>
      <c r="AF3" s="664"/>
    </row>
    <row r="4" spans="1:33" ht="15.75" x14ac:dyDescent="0.2">
      <c r="B4" s="103"/>
      <c r="C4" s="103"/>
      <c r="H4" s="107" t="str">
        <f>import.recurso</f>
        <v>OGU</v>
      </c>
      <c r="AD4" s="665" t="s">
        <v>142</v>
      </c>
      <c r="AE4" s="665"/>
      <c r="AF4" s="665"/>
    </row>
    <row r="6" spans="1:33" x14ac:dyDescent="0.2">
      <c r="B6" s="268" t="s">
        <v>440</v>
      </c>
      <c r="C6" s="344"/>
      <c r="D6" s="270" t="s">
        <v>441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29" t="str">
        <f>IF(TIPOORCAMENTO="Licitado","Nº CTEF","")</f>
        <v/>
      </c>
      <c r="AF6" s="729"/>
    </row>
    <row r="7" spans="1:33" x14ac:dyDescent="0.2">
      <c r="B7" s="715">
        <f>Import.CR</f>
        <v>0</v>
      </c>
      <c r="C7" s="715"/>
      <c r="D7" s="274">
        <f>Import.SICONV</f>
        <v>0</v>
      </c>
      <c r="E7" s="55"/>
      <c r="H7" s="725" t="str">
        <f>Import.Proponente</f>
        <v>MUNICIPIO DE CÉU AZUL</v>
      </c>
      <c r="I7" s="725"/>
      <c r="J7" s="725"/>
      <c r="K7" s="725"/>
      <c r="L7" s="725"/>
      <c r="M7" s="725"/>
      <c r="N7" s="725"/>
      <c r="O7" s="715" t="str">
        <f>Import.Apelido</f>
        <v xml:space="preserve">CONSTRUÇÃO DE CÓPA E APOIO PARA FUNCIONÁRIOS PÁTIO DE MAQUINAS
</v>
      </c>
      <c r="P7" s="715"/>
      <c r="Q7" s="715"/>
      <c r="R7" s="715"/>
      <c r="S7" s="715"/>
      <c r="T7" s="715"/>
      <c r="U7" s="715"/>
      <c r="V7" s="715" t="str">
        <f>IF(TIPOORCAMENTO="Licitado",Import.empresa,Import.DescLote)</f>
        <v>CONSTRUÇÃO DE CÓPA E APOIO PARA FUNCIONÁRIOS PÁTIO DE MAQUINAS</v>
      </c>
      <c r="W7" s="715"/>
      <c r="X7" s="715"/>
      <c r="Y7" s="715"/>
      <c r="Z7" s="715"/>
      <c r="AA7" s="715"/>
      <c r="AB7" s="715"/>
      <c r="AC7" s="715"/>
      <c r="AD7" s="715"/>
      <c r="AE7" s="733" t="str">
        <f>IF(TIPOORCAMENTO="Licitado",Import.CTEF,"")</f>
        <v/>
      </c>
      <c r="AF7" s="733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31">
        <v>1</v>
      </c>
      <c r="K9" s="731"/>
      <c r="M9" s="348" t="s">
        <v>282</v>
      </c>
      <c r="N9" s="732" t="str">
        <f ca="1">TEXT(IF(PLE.Medicao=1,Import.DataInicioObra,OFFSET($H$68,0,1+(PLE.Medicao-$I$69)*2-2)+1),"dd/mm/aaaa")&amp;" a "&amp;TEXT(OFFSET($H$68,0,1+(PLE.Medicao-$I$69)*2),"dd/mm/aaaa")</f>
        <v>20/11/2020 a 00/01/1900</v>
      </c>
      <c r="O9" s="732"/>
      <c r="P9" s="732"/>
      <c r="Q9" s="732"/>
      <c r="R9" s="732"/>
      <c r="S9" s="732"/>
      <c r="T9" s="732"/>
      <c r="U9" s="349"/>
      <c r="X9" s="348" t="s">
        <v>294</v>
      </c>
      <c r="Y9" s="734">
        <f ca="1">OFFSET($I$69,1+8*(ROUNDUP(($J$9-0)/((COLUMN($AG$14)-COLUMN($G$14)-1)/25*12),0)-1),ROUNDDOWN((($J$9-0)-OFFSET($I$69,8*(ROUNDUP(($J$9-0)/((COLUMN($AG$14)-COLUMN($G$14)-1)/25*12),0)-1),0))*(2+1/12),0))</f>
        <v>0</v>
      </c>
      <c r="Z9" s="734"/>
      <c r="AD9" s="348" t="s">
        <v>295</v>
      </c>
      <c r="AE9" s="734">
        <f ca="1">OFFSET($I$69,3+8*(ROUNDUP(($J$9-0)/((COLUMN($AG$14)-COLUMN($G$14)-1)/25*12),0)-1),ROUNDDOWN((($J$9-0)-OFFSET($I$69,8*(ROUNDUP(($J$9-0)/((COLUMN($AG$14)-COLUMN($G$14)-1)/25*12),0)-1),0))*(2+1/12),0))</f>
        <v>0</v>
      </c>
      <c r="AF9" s="734"/>
    </row>
    <row r="11" spans="1:33" ht="65.25" customHeight="1" x14ac:dyDescent="0.2">
      <c r="A11" s="331" t="s">
        <v>289</v>
      </c>
      <c r="C11" s="730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30"/>
      <c r="F11" s="333">
        <f ca="1">IF(F$12&gt;CÁLCULO.NúmeroDeFrentes,"",OFFSET(CÁLCULO!$P$12,0,F$12))</f>
        <v>0</v>
      </c>
      <c r="H11" s="333">
        <f ca="1">IF(H$12&gt;CÁLCULO.NúmeroDeFrentes,"",OFFSET(CÁLCULO!$P$12,0,H$12))</f>
        <v>0</v>
      </c>
      <c r="I11" s="333">
        <f ca="1">IF(I$12&gt;CÁLCULO.NúmeroDeFrentes,"",OFFSET(CÁLCULO!$P$12,0,I$12))</f>
        <v>0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37" t="s">
        <v>268</v>
      </c>
      <c r="D15" s="737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28" t="str">
        <f ca="1">IF(AUTOEVENTO="Manual",IF($B16&lt;&gt;1,OFFSET(EVENTOS!$D$14,$B16,0),0),IF(B16&lt;=MAX(CÁLCULO!$M$15:$M$266),VLOOKUP($B16,CÁLCULO!$M$15:$N$266,2,FALSE),0))</f>
        <v>SERVIÇOS PRELIMINARES</v>
      </c>
      <c r="D16" s="728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28" t="str">
        <f ca="1">IF(AUTOEVENTO="Manual",IF($B17&lt;&gt;1,OFFSET(EVENTOS!$D$14,$B17,0),0),IF(B17&lt;=MAX(CÁLCULO!$M$15:$M$266),VLOOKUP($B17,CÁLCULO!$M$15:$N$266,2,FALSE),0))</f>
        <v>FUNDAÇÃO E ESTRUTURA</v>
      </c>
      <c r="D17" s="728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28" t="str">
        <f ca="1">IF(AUTOEVENTO="Manual",IF($B18&lt;&gt;1,OFFSET(EVENTOS!$D$14,$B18,0),0),IF(B18&lt;=MAX(CÁLCULO!$M$15:$M$266),VLOOKUP($B18,CÁLCULO!$M$15:$N$266,2,FALSE),0))</f>
        <v>PAREDES E FECHAMENTOS</v>
      </c>
      <c r="D18" s="728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28" t="str">
        <f ca="1">IF(AUTOEVENTO="Manual",IF($B19&lt;&gt;1,OFFSET(EVENTOS!$D$14,$B19,0),0),IF(B19&lt;=MAX(CÁLCULO!$M$15:$M$266),VLOOKUP($B19,CÁLCULO!$M$15:$N$266,2,FALSE),0))</f>
        <v>COBERTURA</v>
      </c>
      <c r="D19" s="728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28" t="str">
        <f ca="1">IF(AUTOEVENTO="Manual",IF($B20&lt;&gt;1,OFFSET(EVENTOS!$D$14,$B20,0),0),IF(B20&lt;=MAX(CÁLCULO!$M$15:$M$266),VLOOKUP($B20,CÁLCULO!$M$15:$N$266,2,FALSE),0))</f>
        <v>REVESTIMENTOS DE PISOS</v>
      </c>
      <c r="D20" s="728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>F</v>
      </c>
      <c r="B21" s="327">
        <f t="shared" ca="1" si="1"/>
        <v>7</v>
      </c>
      <c r="C21" s="728" t="str">
        <f ca="1">IF(AUTOEVENTO="Manual",IF($B21&lt;&gt;1,OFFSET(EVENTOS!$D$14,$B21,0),0),IF(B21&lt;=MAX(CÁLCULO!$M$15:$M$266),VLOOKUP($B21,CÁLCULO!$M$15:$N$266,2,FALSE),0))</f>
        <v>REVESTIMENTOS DE PAREDES</v>
      </c>
      <c r="D21" s="728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>F</v>
      </c>
      <c r="B22" s="327">
        <f t="shared" ca="1" si="1"/>
        <v>8</v>
      </c>
      <c r="C22" s="728" t="str">
        <f ca="1">IF(AUTOEVENTO="Manual",IF($B22&lt;&gt;1,OFFSET(EVENTOS!$D$14,$B22,0),0),IF(B22&lt;=MAX(CÁLCULO!$M$15:$M$266),VLOOKUP($B22,CÁLCULO!$M$15:$N$266,2,FALSE),0))</f>
        <v>ELETRICA</v>
      </c>
      <c r="D22" s="728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>F</v>
      </c>
      <c r="B23" s="327">
        <f t="shared" ca="1" si="1"/>
        <v>9</v>
      </c>
      <c r="C23" s="728" t="str">
        <f ca="1">IF(AUTOEVENTO="Manual",IF($B23&lt;&gt;1,OFFSET(EVENTOS!$D$14,$B23,0),0),IF(B23&lt;=MAX(CÁLCULO!$M$15:$M$266),VLOOKUP($B23,CÁLCULO!$M$15:$N$266,2,FALSE),0))</f>
        <v>HIDROSANITÁRIO</v>
      </c>
      <c r="D23" s="728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>F</v>
      </c>
      <c r="B24" s="327">
        <f t="shared" ca="1" si="1"/>
        <v>10</v>
      </c>
      <c r="C24" s="728" t="str">
        <f ca="1">IF(AUTOEVENTO="Manual",IF($B24&lt;&gt;1,OFFSET(EVENTOS!$D$14,$B24,0),0),IF(B24&lt;=MAX(CÁLCULO!$M$15:$M$266),VLOOKUP($B24,CÁLCULO!$M$15:$N$266,2,FALSE),0))</f>
        <v>EQUIPAMENTOS</v>
      </c>
      <c r="D24" s="728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>F</v>
      </c>
      <c r="B25" s="327">
        <f t="shared" ca="1" si="1"/>
        <v>11</v>
      </c>
      <c r="C25" s="728" t="str">
        <f ca="1">IF(AUTOEVENTO="Manual",IF($B25&lt;&gt;1,OFFSET(EVENTOS!$D$14,$B25,0),0),IF(B25&lt;=MAX(CÁLCULO!$M$15:$M$266),VLOOKUP($B25,CÁLCULO!$M$15:$N$266,2,FALSE),0))</f>
        <v>ESQUADRIAS</v>
      </c>
      <c r="D25" s="728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>F</v>
      </c>
      <c r="B26" s="327">
        <f t="shared" ca="1" si="1"/>
        <v>12</v>
      </c>
      <c r="C26" s="728" t="str">
        <f ca="1">IF(AUTOEVENTO="Manual",IF($B26&lt;&gt;1,OFFSET(EVENTOS!$D$14,$B26,0),0),IF(B26&lt;=MAX(CÁLCULO!$M$15:$M$266),VLOOKUP($B26,CÁLCULO!$M$15:$N$266,2,FALSE),0))</f>
        <v>SERVIÇOS FINAIS</v>
      </c>
      <c r="D26" s="728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28">
        <f ca="1">IF(AUTOEVENTO="Manual",IF($B27&lt;&gt;1,OFFSET(EVENTOS!$D$14,$B27,0),0),IF(B27&lt;=MAX(CÁLCULO!$M$15:$M$266),VLOOKUP($B27,CÁLCULO!$M$15:$N$266,2,FALSE),0))</f>
        <v>0</v>
      </c>
      <c r="D27" s="728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28">
        <f ca="1">IF(AUTOEVENTO="Manual",IF($B28&lt;&gt;1,OFFSET(EVENTOS!$D$14,$B28,0),0),IF(B28&lt;=MAX(CÁLCULO!$M$15:$M$266),VLOOKUP($B28,CÁLCULO!$M$15:$N$266,2,FALSE),0))</f>
        <v>0</v>
      </c>
      <c r="D28" s="728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28">
        <f ca="1">IF(AUTOEVENTO="Manual",IF($B29&lt;&gt;1,OFFSET(EVENTOS!$D$14,$B29,0),0),IF(B29&lt;=MAX(CÁLCULO!$M$15:$M$266),VLOOKUP($B29,CÁLCULO!$M$15:$N$266,2,FALSE),0))</f>
        <v>0</v>
      </c>
      <c r="D29" s="728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28">
        <f ca="1">IF(AUTOEVENTO="Manual",IF($B30&lt;&gt;1,OFFSET(EVENTOS!$D$14,$B30,0),0),IF(B30&lt;=MAX(CÁLCULO!$M$15:$M$266),VLOOKUP($B30,CÁLCULO!$M$15:$N$266,2,FALSE),0))</f>
        <v>0</v>
      </c>
      <c r="D30" s="728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28">
        <f ca="1">IF(AUTOEVENTO="Manual",IF($B31&lt;&gt;1,OFFSET(EVENTOS!$D$14,$B31,0),0),IF(B31&lt;=MAX(CÁLCULO!$M$15:$M$266),VLOOKUP($B31,CÁLCULO!$M$15:$N$266,2,FALSE),0))</f>
        <v>0</v>
      </c>
      <c r="D31" s="728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28">
        <f ca="1">IF(AUTOEVENTO="Manual",IF($B32&lt;&gt;1,OFFSET(EVENTOS!$D$14,$B32,0),0),IF(B32&lt;=MAX(CÁLCULO!$M$15:$M$266),VLOOKUP($B32,CÁLCULO!$M$15:$N$266,2,FALSE),0))</f>
        <v>0</v>
      </c>
      <c r="D32" s="728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28">
        <f ca="1">IF(AUTOEVENTO="Manual",IF($B33&lt;&gt;1,OFFSET(EVENTOS!$D$14,$B33,0),0),IF(B33&lt;=MAX(CÁLCULO!$M$15:$M$266),VLOOKUP($B33,CÁLCULO!$M$15:$N$266,2,FALSE),0))</f>
        <v>0</v>
      </c>
      <c r="D33" s="728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28">
        <f ca="1">IF(AUTOEVENTO="Manual",IF($B34&lt;&gt;1,OFFSET(EVENTOS!$D$14,$B34,0),0),IF(B34&lt;=MAX(CÁLCULO!$M$15:$M$266),VLOOKUP($B34,CÁLCULO!$M$15:$N$266,2,FALSE),0))</f>
        <v>0</v>
      </c>
      <c r="D34" s="728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28">
        <f ca="1">IF(AUTOEVENTO="Manual",IF($B35&lt;&gt;1,OFFSET(EVENTOS!$D$14,$B35,0),0),IF(B35&lt;=MAX(CÁLCULO!$M$15:$M$266),VLOOKUP($B35,CÁLCULO!$M$15:$N$266,2,FALSE),0))</f>
        <v>0</v>
      </c>
      <c r="D35" s="728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28">
        <f ca="1">IF(AUTOEVENTO="Manual",IF($B36&lt;&gt;1,OFFSET(EVENTOS!$D$14,$B36,0),0),IF(B36&lt;=MAX(CÁLCULO!$M$15:$M$266),VLOOKUP($B36,CÁLCULO!$M$15:$N$266,2,FALSE),0))</f>
        <v>0</v>
      </c>
      <c r="D36" s="728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28">
        <f ca="1">IF(AUTOEVENTO="Manual",IF($B37&lt;&gt;1,OFFSET(EVENTOS!$D$14,$B37,0),0),IF(B37&lt;=MAX(CÁLCULO!$M$15:$M$266),VLOOKUP($B37,CÁLCULO!$M$15:$N$266,2,FALSE),0))</f>
        <v>0</v>
      </c>
      <c r="D37" s="728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28">
        <f ca="1">IF(AUTOEVENTO="Manual",IF($B38&lt;&gt;1,OFFSET(EVENTOS!$D$14,$B38,0),0),IF(B38&lt;=MAX(CÁLCULO!$M$15:$M$266),VLOOKUP($B38,CÁLCULO!$M$15:$N$266,2,FALSE),0))</f>
        <v>0</v>
      </c>
      <c r="D38" s="728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28">
        <f ca="1">IF(AUTOEVENTO="Manual",IF($B39&lt;&gt;1,OFFSET(EVENTOS!$D$14,$B39,0),0),IF(B39&lt;=MAX(CÁLCULO!$M$15:$M$266),VLOOKUP($B39,CÁLCULO!$M$15:$N$266,2,FALSE),0))</f>
        <v>0</v>
      </c>
      <c r="D39" s="728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28">
        <f ca="1">IF(AUTOEVENTO="Manual",IF($B40&lt;&gt;1,OFFSET(EVENTOS!$D$14,$B40,0),0),IF(B40&lt;=MAX(CÁLCULO!$M$15:$M$266),VLOOKUP($B40,CÁLCULO!$M$15:$N$266,2,FALSE),0))</f>
        <v>0</v>
      </c>
      <c r="D40" s="728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28">
        <f ca="1">IF(AUTOEVENTO="Manual",IF($B41&lt;&gt;1,OFFSET(EVENTOS!$D$14,$B41,0),0),IF(B41&lt;=MAX(CÁLCULO!$M$15:$M$266),VLOOKUP($B41,CÁLCULO!$M$15:$N$266,2,FALSE),0))</f>
        <v>0</v>
      </c>
      <c r="D41" s="728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28">
        <f ca="1">IF(AUTOEVENTO="Manual",IF($B42&lt;&gt;1,OFFSET(EVENTOS!$D$14,$B42,0),0),IF(B42&lt;=MAX(CÁLCULO!$M$15:$M$266),VLOOKUP($B42,CÁLCULO!$M$15:$N$266,2,FALSE),0))</f>
        <v>0</v>
      </c>
      <c r="D42" s="728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28">
        <f ca="1">IF(AUTOEVENTO="Manual",IF($B43&lt;&gt;1,OFFSET(EVENTOS!$D$14,$B43,0),0),IF(B43&lt;=MAX(CÁLCULO!$M$15:$M$266),VLOOKUP($B43,CÁLCULO!$M$15:$N$266,2,FALSE),0))</f>
        <v>0</v>
      </c>
      <c r="D43" s="728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28">
        <f ca="1">IF(AUTOEVENTO="Manual",IF($B44&lt;&gt;1,OFFSET(EVENTOS!$D$14,$B44,0),0),IF(B44&lt;=MAX(CÁLCULO!$M$15:$M$266),VLOOKUP($B44,CÁLCULO!$M$15:$N$266,2,FALSE),0))</f>
        <v>0</v>
      </c>
      <c r="D44" s="728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28">
        <f ca="1">IF(AUTOEVENTO="Manual",IF($B45&lt;&gt;1,OFFSET(EVENTOS!$D$14,$B45,0),0),IF(B45&lt;=MAX(CÁLCULO!$M$15:$M$266),VLOOKUP($B45,CÁLCULO!$M$15:$N$266,2,FALSE),0))</f>
        <v>0</v>
      </c>
      <c r="D45" s="728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28">
        <f ca="1">IF(AUTOEVENTO="Manual",IF($B46&lt;&gt;1,OFFSET(EVENTOS!$D$14,$B46,0),0),IF(B46&lt;=MAX(CÁLCULO!$M$15:$M$266),VLOOKUP($B46,CÁLCULO!$M$15:$N$266,2,FALSE),0))</f>
        <v>0</v>
      </c>
      <c r="D46" s="728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28">
        <f ca="1">IF(AUTOEVENTO="Manual",IF($B47&lt;&gt;1,OFFSET(EVENTOS!$D$14,$B47,0),0),IF(B47&lt;=MAX(CÁLCULO!$M$15:$M$266),VLOOKUP($B47,CÁLCULO!$M$15:$N$266,2,FALSE),0))</f>
        <v>0</v>
      </c>
      <c r="D47" s="728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28">
        <f ca="1">IF(AUTOEVENTO="Manual",IF($B48&lt;&gt;1,OFFSET(EVENTOS!$D$14,$B48,0),0),IF(B48&lt;=MAX(CÁLCULO!$M$15:$M$266),VLOOKUP($B48,CÁLCULO!$M$15:$N$266,2,FALSE),0))</f>
        <v>0</v>
      </c>
      <c r="D48" s="728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28">
        <f ca="1">IF(AUTOEVENTO="Manual",IF($B49&lt;&gt;1,OFFSET(EVENTOS!$D$14,$B49,0),0),IF(B49&lt;=MAX(CÁLCULO!$M$15:$M$266),VLOOKUP($B49,CÁLCULO!$M$15:$N$266,2,FALSE),0))</f>
        <v>0</v>
      </c>
      <c r="D49" s="728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28">
        <f ca="1">IF(AUTOEVENTO="Manual",IF($B50&lt;&gt;1,OFFSET(EVENTOS!$D$14,$B50,0),0),IF(B50&lt;=MAX(CÁLCULO!$M$15:$M$266),VLOOKUP($B50,CÁLCULO!$M$15:$N$266,2,FALSE),0))</f>
        <v>0</v>
      </c>
      <c r="D50" s="728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28">
        <f ca="1">IF(AUTOEVENTO="Manual",IF($B51&lt;&gt;1,OFFSET(EVENTOS!$D$14,$B51,0),0),IF(B51&lt;=MAX(CÁLCULO!$M$15:$M$266),VLOOKUP($B51,CÁLCULO!$M$15:$N$266,2,FALSE),0))</f>
        <v>0</v>
      </c>
      <c r="D51" s="728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28">
        <f ca="1">IF(AUTOEVENTO="Manual",IF($B52&lt;&gt;1,OFFSET(EVENTOS!$D$14,$B52,0),0),IF(B52&lt;=MAX(CÁLCULO!$M$15:$M$266),VLOOKUP($B52,CÁLCULO!$M$15:$N$266,2,FALSE),0))</f>
        <v>0</v>
      </c>
      <c r="D52" s="728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28">
        <f ca="1">IF(AUTOEVENTO="Manual",IF($B53&lt;&gt;1,OFFSET(EVENTOS!$D$14,$B53,0),0),IF(B53&lt;=MAX(CÁLCULO!$M$15:$M$266),VLOOKUP($B53,CÁLCULO!$M$15:$N$266,2,FALSE),0))</f>
        <v>0</v>
      </c>
      <c r="D53" s="728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28">
        <f ca="1">IF(AUTOEVENTO="Manual",IF($B54&lt;&gt;1,OFFSET(EVENTOS!$D$14,$B54,0),0),IF(B54&lt;=MAX(CÁLCULO!$M$15:$M$266),VLOOKUP($B54,CÁLCULO!$M$15:$N$266,2,FALSE),0))</f>
        <v>0</v>
      </c>
      <c r="D54" s="728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28">
        <f ca="1">IF(AUTOEVENTO="Manual",IF($B55&lt;&gt;1,OFFSET(EVENTOS!$D$14,$B55,0),0),IF(B55&lt;=MAX(CÁLCULO!$M$15:$M$266),VLOOKUP($B55,CÁLCULO!$M$15:$N$266,2,FALSE),0))</f>
        <v>0</v>
      </c>
      <c r="D55" s="728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28">
        <f ca="1">IF(AUTOEVENTO="Manual",IF($B56&lt;&gt;1,OFFSET(EVENTOS!$D$14,$B56,0),0),IF(B56&lt;=MAX(CÁLCULO!$M$15:$M$266),VLOOKUP($B56,CÁLCULO!$M$15:$N$266,2,FALSE),0))</f>
        <v>0</v>
      </c>
      <c r="D56" s="728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28">
        <f ca="1">IF(AUTOEVENTO="Manual",IF($B57&lt;&gt;1,OFFSET(EVENTOS!$D$14,$B57,0),0),IF(B57&lt;=MAX(CÁLCULO!$M$15:$M$266),VLOOKUP($B57,CÁLCULO!$M$15:$N$266,2,FALSE),0))</f>
        <v>0</v>
      </c>
      <c r="D57" s="728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28">
        <f ca="1">IF(AUTOEVENTO="Manual",IF($B58&lt;&gt;1,OFFSET(EVENTOS!$D$14,$B58,0),0),IF(B58&lt;=MAX(CÁLCULO!$M$15:$M$266),VLOOKUP($B58,CÁLCULO!$M$15:$N$266,2,FALSE),0))</f>
        <v>0</v>
      </c>
      <c r="D58" s="728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28">
        <f ca="1">IF(AUTOEVENTO="Manual",IF($B59&lt;&gt;1,OFFSET(EVENTOS!$D$14,$B59,0),0),IF(B59&lt;=MAX(CÁLCULO!$M$15:$M$266),VLOOKUP($B59,CÁLCULO!$M$15:$N$266,2,FALSE),0))</f>
        <v>0</v>
      </c>
      <c r="D59" s="728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28">
        <f ca="1">IF(AUTOEVENTO="Manual",IF($B60&lt;&gt;1,OFFSET(EVENTOS!$D$14,$B60,0),0),IF(B60&lt;=MAX(CÁLCULO!$M$15:$M$266),VLOOKUP($B60,CÁLCULO!$M$15:$N$266,2,FALSE),0))</f>
        <v>0</v>
      </c>
      <c r="D60" s="728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28">
        <f ca="1">IF(AUTOEVENTO="Manual",IF($B61&lt;&gt;1,OFFSET(EVENTOS!$D$14,$B61,0),0),IF(B61&lt;=MAX(CÁLCULO!$M$15:$M$266),VLOOKUP($B61,CÁLCULO!$M$15:$N$266,2,FALSE),0))</f>
        <v>0</v>
      </c>
      <c r="D61" s="728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28">
        <f ca="1">IF(AUTOEVENTO="Manual",IF($B62&lt;&gt;1,OFFSET(EVENTOS!$D$14,$B62,0),0),IF(B62&lt;=MAX(CÁLCULO!$M$15:$M$266),VLOOKUP($B62,CÁLCULO!$M$15:$N$266,2,FALSE),0))</f>
        <v>0</v>
      </c>
      <c r="D62" s="728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28">
        <f ca="1">IF(AUTOEVENTO="Manual",IF($B63&lt;&gt;1,OFFSET(EVENTOS!$D$14,$B63,0),0),IF(B63&lt;=MAX(CÁLCULO!$M$15:$M$266),VLOOKUP($B63,CÁLCULO!$M$15:$N$266,2,FALSE),0))</f>
        <v>0</v>
      </c>
      <c r="D63" s="728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28">
        <f ca="1">IF(AUTOEVENTO="Manual",IF($B64&lt;&gt;1,OFFSET(EVENTOS!$D$14,$B64,0),0),IF(B64&lt;=MAX(CÁLCULO!$M$15:$M$266),VLOOKUP($B64,CÁLCULO!$M$15:$N$266,2,FALSE),0))</f>
        <v>0</v>
      </c>
      <c r="D64" s="728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35" t="s">
        <v>297</v>
      </c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5"/>
      <c r="X67" s="735"/>
      <c r="Y67" s="735"/>
      <c r="Z67" s="735"/>
      <c r="AA67" s="735"/>
      <c r="AB67" s="735"/>
      <c r="AC67" s="735"/>
      <c r="AD67" s="735"/>
      <c r="AE67" s="735"/>
      <c r="AF67" s="735"/>
    </row>
    <row r="68" spans="1:32" x14ac:dyDescent="0.2">
      <c r="A68" s="9" t="s">
        <v>245</v>
      </c>
      <c r="H68" s="582"/>
      <c r="I68" s="750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41"/>
    </row>
    <row r="69" spans="1:32" x14ac:dyDescent="0.2">
      <c r="A69" s="9" t="s">
        <v>245</v>
      </c>
      <c r="D69" s="351" t="s">
        <v>298</v>
      </c>
      <c r="I69" s="740">
        <f>IF(PLE.Medicao&lt;=12,1,TRUNC((PLE.Medicao - 2)/11,0) * 11 + 1)</f>
        <v>1</v>
      </c>
      <c r="J69" s="740"/>
      <c r="K69" s="740">
        <f>I69+1</f>
        <v>2</v>
      </c>
      <c r="L69" s="740"/>
      <c r="M69" s="740">
        <f>K69+1</f>
        <v>3</v>
      </c>
      <c r="N69" s="740"/>
      <c r="O69" s="740">
        <f>M69+1</f>
        <v>4</v>
      </c>
      <c r="P69" s="740"/>
      <c r="Q69" s="740">
        <f>O69+1</f>
        <v>5</v>
      </c>
      <c r="R69" s="740"/>
      <c r="S69" s="740">
        <f>Q69+1</f>
        <v>6</v>
      </c>
      <c r="T69" s="740"/>
      <c r="U69" s="740">
        <f>S69+1</f>
        <v>7</v>
      </c>
      <c r="V69" s="740"/>
      <c r="W69" s="740">
        <f>U69+1</f>
        <v>8</v>
      </c>
      <c r="X69" s="740"/>
      <c r="Y69" s="740">
        <f>W69+1</f>
        <v>9</v>
      </c>
      <c r="Z69" s="740"/>
      <c r="AA69" s="740">
        <f>Y69+1</f>
        <v>10</v>
      </c>
      <c r="AB69" s="740"/>
      <c r="AC69" s="740">
        <f>AA69+1</f>
        <v>11</v>
      </c>
      <c r="AD69" s="740"/>
      <c r="AE69" s="740">
        <f>AC69+1</f>
        <v>12</v>
      </c>
      <c r="AF69" s="740"/>
    </row>
    <row r="70" spans="1:32" x14ac:dyDescent="0.2">
      <c r="A70" s="9" t="s">
        <v>245</v>
      </c>
      <c r="D70" s="742" t="s">
        <v>282</v>
      </c>
      <c r="H70" s="352" t="s">
        <v>299</v>
      </c>
      <c r="I70" s="749">
        <f ca="1">ROUND(I71,2)/ORÇAMENTO!$X$15</f>
        <v>0</v>
      </c>
      <c r="J70" s="749"/>
      <c r="K70" s="739">
        <f ca="1">ROUND(K71,2)/ORÇAMENTO!$X$15</f>
        <v>0</v>
      </c>
      <c r="L70" s="739"/>
      <c r="M70" s="738">
        <f ca="1">ROUND(M71,2)/ORÇAMENTO!$X$15</f>
        <v>0</v>
      </c>
      <c r="N70" s="738"/>
      <c r="O70" s="739">
        <f ca="1">ROUND(O71,2)/ORÇAMENTO!$X$15</f>
        <v>0</v>
      </c>
      <c r="P70" s="739"/>
      <c r="Q70" s="738">
        <f ca="1">ROUND(Q71,2)/ORÇAMENTO!$X$15</f>
        <v>0</v>
      </c>
      <c r="R70" s="738"/>
      <c r="S70" s="739">
        <f ca="1">ROUND(S71,2)/ORÇAMENTO!$X$15</f>
        <v>0</v>
      </c>
      <c r="T70" s="739"/>
      <c r="U70" s="738">
        <f ca="1">ROUND(U71,2)/ORÇAMENTO!$X$15</f>
        <v>0</v>
      </c>
      <c r="V70" s="738"/>
      <c r="W70" s="739">
        <f ca="1">ROUND(W71,2)/ORÇAMENTO!$X$15</f>
        <v>0</v>
      </c>
      <c r="X70" s="739"/>
      <c r="Y70" s="738">
        <f ca="1">ROUND(Y71,2)/ORÇAMENTO!$X$15</f>
        <v>0</v>
      </c>
      <c r="Z70" s="738"/>
      <c r="AA70" s="739">
        <f ca="1">ROUND(AA71,2)/ORÇAMENTO!$X$15</f>
        <v>0</v>
      </c>
      <c r="AB70" s="739"/>
      <c r="AC70" s="738">
        <f ca="1">ROUND(AC71,2)/ORÇAMENTO!$X$15</f>
        <v>0</v>
      </c>
      <c r="AD70" s="738"/>
      <c r="AE70" s="739">
        <f ca="1">ROUND(AE71,2)/ORÇAMENTO!$X$15</f>
        <v>0</v>
      </c>
      <c r="AF70" s="739"/>
    </row>
    <row r="71" spans="1:32" x14ac:dyDescent="0.2">
      <c r="A71" s="9" t="s">
        <v>245</v>
      </c>
      <c r="D71" s="742"/>
      <c r="H71" s="353" t="s">
        <v>300</v>
      </c>
      <c r="I71" s="743">
        <f ca="1">IF(I69=1,I73,ROUND(I73,2)-ROUND(SUMIF(CÁLCULO!$AX$15:$BH$266,"&lt;="&amp;PLE!I69-1,CÁLCULO!$AB$15:$AL$266)*(1+CÁLCULO.TotalAdmLocal/(ORÇAMENTO!$X$15-CÁLCULO.TotalAdmLocal)),2))</f>
        <v>0</v>
      </c>
      <c r="J71" s="743"/>
      <c r="K71" s="743">
        <f ca="1">ROUND(K73,2)-ROUND(I73,2)</f>
        <v>0</v>
      </c>
      <c r="L71" s="743"/>
      <c r="M71" s="747">
        <f ca="1">ROUND(M73,2)-ROUND(K73,2)</f>
        <v>0</v>
      </c>
      <c r="N71" s="747"/>
      <c r="O71" s="743">
        <f ca="1">ROUND(O73,2)-ROUND(M73,2)</f>
        <v>0</v>
      </c>
      <c r="P71" s="743"/>
      <c r="Q71" s="747">
        <f ca="1">ROUND(Q73,2)-ROUND(O73,2)</f>
        <v>0</v>
      </c>
      <c r="R71" s="747"/>
      <c r="S71" s="743">
        <f ca="1">ROUND(S73,2)-ROUND(Q73,2)</f>
        <v>0</v>
      </c>
      <c r="T71" s="743"/>
      <c r="U71" s="747">
        <f ca="1">ROUND(U73,2)-ROUND(S73,2)</f>
        <v>0</v>
      </c>
      <c r="V71" s="747"/>
      <c r="W71" s="743">
        <f ca="1">ROUND(W73,2)-ROUND(U73,2)</f>
        <v>0</v>
      </c>
      <c r="X71" s="743"/>
      <c r="Y71" s="747">
        <f ca="1">ROUND(Y73,2)-ROUND(W73,2)</f>
        <v>0</v>
      </c>
      <c r="Z71" s="747"/>
      <c r="AA71" s="743">
        <f ca="1">ROUND(AA73,2)-ROUND(Y73,2)</f>
        <v>0</v>
      </c>
      <c r="AB71" s="743"/>
      <c r="AC71" s="747">
        <f ca="1">ROUND(AC73,2)-ROUND(AA73,2)</f>
        <v>0</v>
      </c>
      <c r="AD71" s="747"/>
      <c r="AE71" s="743">
        <f ca="1">ROUND(AE73,2)-ROUND(AC73,2)</f>
        <v>0</v>
      </c>
      <c r="AF71" s="743"/>
    </row>
    <row r="72" spans="1:32" x14ac:dyDescent="0.2">
      <c r="A72" s="9" t="s">
        <v>245</v>
      </c>
      <c r="D72" s="742" t="s">
        <v>286</v>
      </c>
      <c r="H72" s="352" t="s">
        <v>299</v>
      </c>
      <c r="I72" s="745">
        <f ca="1">ROUND(I73,2)/ORÇAMENTO!$X$15</f>
        <v>0</v>
      </c>
      <c r="J72" s="745"/>
      <c r="K72" s="744">
        <f ca="1">ROUND(K73,2)/ORÇAMENTO!$X$15</f>
        <v>0</v>
      </c>
      <c r="L72" s="744"/>
      <c r="M72" s="746">
        <f ca="1">ROUND(M73,2)/ORÇAMENTO!$X$15</f>
        <v>0</v>
      </c>
      <c r="N72" s="746"/>
      <c r="O72" s="744">
        <f ca="1">ROUND(O73,2)/ORÇAMENTO!$X$15</f>
        <v>0</v>
      </c>
      <c r="P72" s="744"/>
      <c r="Q72" s="746">
        <f ca="1">ROUND(Q73,2)/ORÇAMENTO!$X$15</f>
        <v>0</v>
      </c>
      <c r="R72" s="746"/>
      <c r="S72" s="744">
        <f ca="1">ROUND(S73,2)/ORÇAMENTO!$X$15</f>
        <v>0</v>
      </c>
      <c r="T72" s="744"/>
      <c r="U72" s="746">
        <f ca="1">ROUND(U73,2)/ORÇAMENTO!$X$15</f>
        <v>0</v>
      </c>
      <c r="V72" s="746"/>
      <c r="W72" s="744">
        <f ca="1">ROUND(W73,2)/ORÇAMENTO!$X$15</f>
        <v>0</v>
      </c>
      <c r="X72" s="744"/>
      <c r="Y72" s="746">
        <f ca="1">ROUND(Y73,2)/ORÇAMENTO!$X$15</f>
        <v>0</v>
      </c>
      <c r="Z72" s="746"/>
      <c r="AA72" s="744">
        <f ca="1">ROUND(AA73,2)/ORÇAMENTO!$X$15</f>
        <v>0</v>
      </c>
      <c r="AB72" s="744"/>
      <c r="AC72" s="746">
        <f ca="1">ROUND(AC73,2)/ORÇAMENTO!$X$15</f>
        <v>0</v>
      </c>
      <c r="AD72" s="746"/>
      <c r="AE72" s="744">
        <f ca="1">ROUND(AE73,2)/ORÇAMENTO!$X$15</f>
        <v>0</v>
      </c>
      <c r="AF72" s="744"/>
    </row>
    <row r="73" spans="1:32" x14ac:dyDescent="0.2">
      <c r="A73" s="9" t="s">
        <v>245</v>
      </c>
      <c r="D73" s="742"/>
      <c r="H73" s="353" t="s">
        <v>300</v>
      </c>
      <c r="I73" s="748">
        <f ca="1">SUMIF(CÁLCULO!$AX$15:$BH$266,"&lt;="&amp;PLE!I69,CÁLCULO!$AB$15:$AL$266)*(1+CÁLCULO.TotalAdmLocal/(ORÇAMENTO!$X$15-CÁLCULO.TotalAdmLocal))</f>
        <v>0</v>
      </c>
      <c r="J73" s="748"/>
      <c r="K73" s="743">
        <f ca="1">SUMIF(CÁLCULO!$AX$15:$BH$266,"&lt;="&amp;PLE!K69,CÁLCULO!$AB$15:$AL$266)*(1+CÁLCULO.TotalAdmLocal/(ORÇAMENTO!$X$15-CÁLCULO.TotalAdmLocal))</f>
        <v>0</v>
      </c>
      <c r="L73" s="743"/>
      <c r="M73" s="747">
        <f ca="1">SUMIF(CÁLCULO!$AX$15:$BH$266,"&lt;="&amp;PLE!M69,CÁLCULO!$AB$15:$AL$266)*(1+CÁLCULO.TotalAdmLocal/(ORÇAMENTO!$X$15-CÁLCULO.TotalAdmLocal))</f>
        <v>0</v>
      </c>
      <c r="N73" s="747"/>
      <c r="O73" s="743">
        <f ca="1">SUMIF(CÁLCULO!$AX$15:$BH$266,"&lt;="&amp;PLE!O69,CÁLCULO!$AB$15:$AL$266)*(1+CÁLCULO.TotalAdmLocal/(ORÇAMENTO!$X$15-CÁLCULO.TotalAdmLocal))</f>
        <v>0</v>
      </c>
      <c r="P73" s="743"/>
      <c r="Q73" s="747">
        <f ca="1">SUMIF(CÁLCULO!$AX$15:$BH$266,"&lt;="&amp;PLE!Q69,CÁLCULO!$AB$15:$AL$266)*(1+CÁLCULO.TotalAdmLocal/(ORÇAMENTO!$X$15-CÁLCULO.TotalAdmLocal))</f>
        <v>0</v>
      </c>
      <c r="R73" s="747"/>
      <c r="S73" s="743">
        <f ca="1">SUMIF(CÁLCULO!$AX$15:$BH$266,"&lt;="&amp;PLE!S69,CÁLCULO!$AB$15:$AL$266)*(1+CÁLCULO.TotalAdmLocal/(ORÇAMENTO!$X$15-CÁLCULO.TotalAdmLocal))</f>
        <v>0</v>
      </c>
      <c r="T73" s="743"/>
      <c r="U73" s="747">
        <f ca="1">SUMIF(CÁLCULO!$AX$15:$BH$266,"&lt;="&amp;PLE!U69,CÁLCULO!$AB$15:$AL$266)*(1+CÁLCULO.TotalAdmLocal/(ORÇAMENTO!$X$15-CÁLCULO.TotalAdmLocal))</f>
        <v>0</v>
      </c>
      <c r="V73" s="747"/>
      <c r="W73" s="743">
        <f ca="1">SUMIF(CÁLCULO!$AX$15:$BH$266,"&lt;="&amp;PLE!W69,CÁLCULO!$AB$15:$AL$266)*(1+CÁLCULO.TotalAdmLocal/(ORÇAMENTO!$X$15-CÁLCULO.TotalAdmLocal))</f>
        <v>0</v>
      </c>
      <c r="X73" s="743"/>
      <c r="Y73" s="747">
        <f ca="1">SUMIF(CÁLCULO!$AX$15:$BH$266,"&lt;="&amp;PLE!Y69,CÁLCULO!$AB$15:$AL$266)*(1+CÁLCULO.TotalAdmLocal/(ORÇAMENTO!$X$15-CÁLCULO.TotalAdmLocal))</f>
        <v>0</v>
      </c>
      <c r="Z73" s="747"/>
      <c r="AA73" s="743">
        <f ca="1">SUMIF(CÁLCULO!$AX$15:$BH$266,"&lt;="&amp;PLE!AA69,CÁLCULO!$AB$15:$AL$266)*(1+CÁLCULO.TotalAdmLocal/(ORÇAMENTO!$X$15-CÁLCULO.TotalAdmLocal))</f>
        <v>0</v>
      </c>
      <c r="AB73" s="743"/>
      <c r="AC73" s="747">
        <f ca="1">SUMIF(CÁLCULO!$AX$15:$BH$266,"&lt;="&amp;PLE!AC69,CÁLCULO!$AB$15:$AL$266)*(1+CÁLCULO.TotalAdmLocal/(ORÇAMENTO!$X$15-CÁLCULO.TotalAdmLocal))</f>
        <v>0</v>
      </c>
      <c r="AD73" s="747"/>
      <c r="AE73" s="743">
        <f ca="1">SUMIF(CÁLCULO!$AX$15:$BH$266,"&lt;="&amp;PLE!AE69,CÁLCULO!$AB$15:$AL$266)*(1+CÁLCULO.TotalAdmLocal/(ORÇAMENTO!$X$15-CÁLCULO.TotalAdmLocal))</f>
        <v>0</v>
      </c>
      <c r="AF73" s="74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8" t="str">
        <f>Import.Município</f>
        <v>CÉU AZUL</v>
      </c>
      <c r="C75" s="698"/>
      <c r="D75" s="698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>
        <f t="array" ref="W77:W80">Import.RespFiscalização</f>
        <v>0</v>
      </c>
      <c r="X77" s="105"/>
    </row>
    <row r="78" spans="1:32" x14ac:dyDescent="0.2">
      <c r="A78" s="9" t="s">
        <v>245</v>
      </c>
      <c r="B78" s="693">
        <f ca="1">DADOS!$F$47</f>
        <v>44133</v>
      </c>
      <c r="C78" s="693"/>
      <c r="D78" s="693"/>
      <c r="E78" s="105"/>
      <c r="I78" s="97"/>
      <c r="K78" s="105"/>
      <c r="U78" s="95" t="s">
        <v>126</v>
      </c>
      <c r="W78" s="354">
        <v>0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>
        <v>0</v>
      </c>
      <c r="X79" s="105"/>
    </row>
    <row r="80" spans="1:32" x14ac:dyDescent="0.2">
      <c r="U80" s="95" t="s">
        <v>109</v>
      </c>
      <c r="W80" s="355">
        <v>0</v>
      </c>
    </row>
  </sheetData>
  <sheetProtection algorithmName="SHA-512" hashValue="NEKGJ7hexFfvNNzlEfabnhbJ0P95eGdzXRr5uBNAeeHTp+X6q7+JG3X1OJGvzeRsympMSM7TlrXwW/Vc7xQ1yA==" saltValue="IAN3tNcMSceIkD50gmCxUg==" spinCount="100000"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40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66" t="s">
        <v>440</v>
      </c>
      <c r="E3" s="666"/>
      <c r="F3" s="112" t="s">
        <v>441</v>
      </c>
      <c r="G3" s="666" t="s">
        <v>146</v>
      </c>
      <c r="H3" s="666"/>
      <c r="I3" s="666"/>
      <c r="J3" s="751" t="s">
        <v>305</v>
      </c>
      <c r="K3" s="751"/>
      <c r="L3" s="751"/>
      <c r="M3" s="752" t="s">
        <v>306</v>
      </c>
      <c r="N3" s="752"/>
      <c r="O3" s="752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63">
        <f>Import.CR</f>
        <v>0</v>
      </c>
      <c r="E4" s="663"/>
      <c r="F4" s="73">
        <f>Import.SICONV</f>
        <v>0</v>
      </c>
      <c r="G4" s="663" t="str">
        <f>Import.Proponente</f>
        <v>MUNICIPIO DE CÉU AZUL</v>
      </c>
      <c r="H4" s="663"/>
      <c r="I4" s="663"/>
      <c r="J4" s="753" t="str">
        <f>Import.Município</f>
        <v>CÉU AZUL</v>
      </c>
      <c r="K4" s="753"/>
      <c r="L4" s="753"/>
      <c r="M4" s="752"/>
      <c r="N4" s="752"/>
      <c r="O4" s="752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66" t="s">
        <v>201</v>
      </c>
      <c r="E6" s="666"/>
      <c r="F6" s="666"/>
      <c r="G6" s="666"/>
      <c r="H6" s="666"/>
      <c r="I6" s="666"/>
      <c r="J6" s="666"/>
      <c r="K6" s="666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92" t="s">
        <v>208</v>
      </c>
      <c r="D7" s="663" t="str">
        <f>Import.Apelido</f>
        <v xml:space="preserve">CONSTRUÇÃO DE CÓPA E APOIO PARA FUNCIONÁRIOS PÁTIO DE MAQUINAS
</v>
      </c>
      <c r="E7" s="663"/>
      <c r="F7" s="663"/>
      <c r="G7" s="663"/>
      <c r="H7" s="663"/>
      <c r="I7" s="663"/>
      <c r="J7" s="663"/>
      <c r="K7" s="663"/>
      <c r="L7" s="360" t="str">
        <f>import.recurso</f>
        <v>OGU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92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92"/>
      <c r="E9" s="16"/>
      <c r="G9" s="756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6"/>
      <c r="I9" s="756"/>
      <c r="J9" s="756"/>
      <c r="K9" s="757" t="s">
        <v>312</v>
      </c>
      <c r="L9" s="363" t="str">
        <f>$L$13</f>
        <v>Repasse (R$)</v>
      </c>
      <c r="M9" s="363" t="s">
        <v>237</v>
      </c>
      <c r="AD9" s="754"/>
      <c r="AE9" s="754"/>
    </row>
    <row r="10" spans="1:31" ht="12.75" customHeight="1" x14ac:dyDescent="0.2">
      <c r="A10" s="758" t="s">
        <v>313</v>
      </c>
      <c r="C10" s="692"/>
      <c r="G10" s="756"/>
      <c r="H10" s="756"/>
      <c r="I10" s="756"/>
      <c r="J10" s="756"/>
      <c r="K10" s="757"/>
      <c r="L10" s="364">
        <f ca="1">Import.Repasse-L24</f>
        <v>0</v>
      </c>
      <c r="M10" s="365">
        <f ca="1">Import.Contrapartida-M24</f>
        <v>-137954.57999999999</v>
      </c>
      <c r="Z10" s="705" t="s">
        <v>215</v>
      </c>
      <c r="AA10" s="705"/>
      <c r="AB10" s="705"/>
      <c r="AD10" s="754" t="s">
        <v>314</v>
      </c>
      <c r="AE10" s="754"/>
    </row>
    <row r="11" spans="1:31" ht="20.100000000000001" customHeight="1" x14ac:dyDescent="0.2">
      <c r="A11" s="758"/>
      <c r="C11" s="692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OBRA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137954.57999999999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137954.57999999999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137954.57999999999</v>
      </c>
      <c r="X14" s="376">
        <v>0</v>
      </c>
      <c r="Z14" s="377">
        <f t="shared" ref="Z14:Z22" ca="1" si="8">$O14-$AA14-$AB14</f>
        <v>2.9103830456733704E-11</v>
      </c>
      <c r="AA14">
        <f ca="1">IF($B14="Branco",0,IF($B14="Manual",QCI.CPManual,IF($B14="SemiAuto",ROUND(QCI!$AA$3*QCI.InvManual,2),INDEX(ORÇAMENTO!$AA$15:$AA$266,MATCH($A14,ORÇAMENTO!$E$15:$E$266,0)))))</f>
        <v>137954.57999999996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5" t="s">
        <v>327</v>
      </c>
      <c r="L24" s="388">
        <f ca="1">SUM(L13:OFFSET(L24,-1,0))</f>
        <v>0</v>
      </c>
      <c r="M24" s="389">
        <f ca="1">SUM(M13:OFFSET(M24,-1,0))</f>
        <v>137954.57999999999</v>
      </c>
      <c r="N24" s="390">
        <f ca="1">SUM(N13:OFFSET(N24,-1,0))</f>
        <v>0</v>
      </c>
      <c r="O24" s="391">
        <f ca="1">SUM(O13:OFFSET(O24,-1,0))</f>
        <v>137954.57999999999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137954.57999999999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5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</row>
    <row r="29" spans="1:31" ht="12.75" customHeight="1" x14ac:dyDescent="0.2"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</row>
    <row r="30" spans="1:31" ht="12.75" customHeight="1" x14ac:dyDescent="0.2">
      <c r="D30" s="696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</row>
    <row r="33" spans="4:12" ht="15" x14ac:dyDescent="0.2">
      <c r="D33" s="698" t="str">
        <f>Import.Município</f>
        <v>CÉU AZUL</v>
      </c>
      <c r="E33" s="698"/>
      <c r="F33" s="698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GERMANO BONAMIGO</v>
      </c>
    </row>
    <row r="36" spans="4:12" x14ac:dyDescent="0.2">
      <c r="D36" s="693">
        <f>DADOS!$F$25</f>
        <v>44110</v>
      </c>
      <c r="E36" s="693"/>
      <c r="F36" s="693"/>
      <c r="I36" s="95" t="str">
        <f>"Cargo:"  &amp; " " &amp; DADOS!F29</f>
        <v>Cargo: PREFEITO MUNICIPAL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algorithmName="SHA-512" hashValue="K3qFIpabAdC4wDvEaX50sqV3A5pnVnzRRWKA7DInH8Fknqi9xeenSh9msYpz+c9+WdY3jHFY427FHNjoCFY/dw==" saltValue="RKuR5g4Tx2zg+CgfEoXRLw==" spinCount="100000"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40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EMPREITADA POR PREÇO GLOBAL - OGU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59" t="b">
        <v>0</v>
      </c>
      <c r="B3" s="759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66" t="s">
        <v>146</v>
      </c>
      <c r="E4" s="666"/>
      <c r="F4" s="703" t="s">
        <v>440</v>
      </c>
      <c r="G4" s="703"/>
      <c r="H4" s="703"/>
      <c r="I4" s="184" t="s">
        <v>441</v>
      </c>
      <c r="J4" s="666" t="s">
        <v>201</v>
      </c>
      <c r="K4" s="666"/>
      <c r="L4" s="666"/>
      <c r="M4" s="666"/>
      <c r="N4" s="666"/>
      <c r="O4" s="186" t="s">
        <v>331</v>
      </c>
    </row>
    <row r="5" spans="1:41" ht="12.75" customHeight="1" x14ac:dyDescent="0.2">
      <c r="A5" t="s">
        <v>332</v>
      </c>
      <c r="C5" s="105"/>
      <c r="D5" s="663" t="str">
        <f>Import.Proponente</f>
        <v>MUNICIPIO DE CÉU AZUL</v>
      </c>
      <c r="E5" s="663"/>
      <c r="F5" s="701">
        <f>Import.CR</f>
        <v>0</v>
      </c>
      <c r="G5" s="701"/>
      <c r="H5" s="701"/>
      <c r="I5" s="416">
        <f>Import.SICONV</f>
        <v>0</v>
      </c>
      <c r="J5" s="663" t="str">
        <f>Import.Apelido</f>
        <v xml:space="preserve">CONSTRUÇÃO DE CÓPA E APOIO PARA FUNCIONÁRIOS PÁTIO DE MAQUINAS
</v>
      </c>
      <c r="K5" s="663"/>
      <c r="L5" s="663"/>
      <c r="M5" s="663"/>
      <c r="N5" s="663"/>
      <c r="O5" s="417">
        <f>Import.DataInicioObra</f>
        <v>44155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Global</v>
      </c>
      <c r="C7" s="105"/>
      <c r="D7" s="112" t="s">
        <v>334</v>
      </c>
      <c r="E7" s="112" t="s">
        <v>335</v>
      </c>
      <c r="F7" s="666" t="s">
        <v>336</v>
      </c>
      <c r="G7" s="666"/>
      <c r="H7" s="666"/>
      <c r="I7" s="666" t="str">
        <f>IF(TIPOORCAMENTO="Licitado","REGIME DE EXECUÇÃO","MUNICÍPIO / UF")</f>
        <v>MUNICÍPIO / UF</v>
      </c>
      <c r="J7" s="666"/>
      <c r="K7" s="666"/>
      <c r="L7" s="666"/>
      <c r="M7" s="666" t="s">
        <v>337</v>
      </c>
      <c r="N7" s="666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92" t="s">
        <v>208</v>
      </c>
      <c r="D8" s="420">
        <f>Import.CTEF</f>
        <v>0</v>
      </c>
      <c r="E8" s="73">
        <f>Import.empresa</f>
        <v>0</v>
      </c>
      <c r="F8" s="663">
        <f>Import.CNPJ</f>
        <v>0</v>
      </c>
      <c r="G8" s="663"/>
      <c r="H8" s="663"/>
      <c r="I8" s="663" t="str">
        <f>IF(TIPOORCAMENTO="Licitado",Import.RegimeExecução,Import.Município)</f>
        <v>CÉU AZUL</v>
      </c>
      <c r="J8" s="663"/>
      <c r="K8" s="663"/>
      <c r="L8" s="663"/>
      <c r="M8" s="663" t="str">
        <f ca="1">TEXT(IF(BM.medicao=1,Import.DataInicioObra,OFFSET($AB$12,0,BM.medicao-1-$AB$13)+1),"dd/mm/aaaa")&amp;" a "&amp;TEXT(OFFSET($AB$12,0,BM.medicao-$AB$13),"dd/mm/aaaa")</f>
        <v>20/11/2020 a 00/01/1900</v>
      </c>
      <c r="N8" s="663"/>
      <c r="O8" s="541">
        <v>1</v>
      </c>
    </row>
    <row r="9" spans="1:41" ht="12.75" customHeight="1" x14ac:dyDescent="0.2">
      <c r="A9" s="578" t="b">
        <v>1</v>
      </c>
      <c r="B9" s="55"/>
      <c r="C9" s="692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92"/>
      <c r="D10" s="16"/>
      <c r="E10" s="760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760"/>
      <c r="G10" s="760"/>
      <c r="H10" s="760"/>
      <c r="I10" s="760"/>
      <c r="J10" s="105"/>
      <c r="K10" s="105"/>
      <c r="L10" s="105"/>
      <c r="N10" s="761" t="str">
        <f ca="1">"Realizado Acumulado: "&amp;TEXT(ROUND($O$15/($I$15+10^-12),4),"0,00%")</f>
        <v>Realizado Acumulado: 0,00%</v>
      </c>
      <c r="O10" s="761"/>
    </row>
    <row r="11" spans="1:41" ht="15" customHeight="1" x14ac:dyDescent="0.25">
      <c r="C11" s="692"/>
      <c r="D11" s="105"/>
      <c r="E11" s="760"/>
      <c r="F11" s="760"/>
      <c r="G11" s="760"/>
      <c r="H11" s="760"/>
      <c r="I11" s="760"/>
      <c r="J11" s="105"/>
      <c r="K11" s="105"/>
      <c r="L11" s="105"/>
      <c r="M11" s="105"/>
      <c r="N11" s="761"/>
      <c r="O11" s="761"/>
      <c r="T11" s="765" t="s">
        <v>340</v>
      </c>
      <c r="U11" s="765"/>
      <c r="V11" s="101"/>
      <c r="W11" s="101"/>
      <c r="X11" s="101"/>
      <c r="Y11" s="101"/>
      <c r="Z11" s="60"/>
      <c r="AB11" s="762" t="s">
        <v>341</v>
      </c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</row>
    <row r="12" spans="1:41" ht="15" customHeight="1" x14ac:dyDescent="0.25">
      <c r="C12" s="692"/>
      <c r="D12" s="105"/>
      <c r="E12" s="200" t="s">
        <v>342</v>
      </c>
      <c r="F12" s="105"/>
      <c r="G12" s="105"/>
      <c r="H12" s="105"/>
      <c r="I12" s="105"/>
      <c r="J12" s="763" t="str">
        <f ca="1">"Evolução Física "&amp;CHOOSE(MATCH(RegimeExecucao,{"Unitário","Global"},0),"(Qtde.)","(%)")</f>
        <v>Evolução Física (%)</v>
      </c>
      <c r="K12" s="763"/>
      <c r="L12" s="763"/>
      <c r="M12" s="763" t="s">
        <v>343</v>
      </c>
      <c r="N12" s="763"/>
      <c r="O12" s="763"/>
      <c r="Q12" s="764" t="str">
        <f ca="1">"Aferido (CAIXA) "&amp;CHOOSE(MATCH(RegimeExecucao,{"Unitário","Global"},0),"(Qtde.)","(%)")</f>
        <v>Aferido (CAIXA) (%)</v>
      </c>
      <c r="R12" s="764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/>
      </c>
      <c r="W13" s="384" t="str">
        <f ca="1">CHOOSE(MATCH(RegimeExecucao,{"Unitário","Global"},0),"Quant. Glosada (unid)","Percentual Glosado (%)")</f>
        <v>Percentual Glosado (%)</v>
      </c>
      <c r="X13" s="384" t="str">
        <f ca="1">CHOOSE(MATCH(RegimeExecucao,{"Unitário","Global"},0),"Preço Unitário (R$)","Valor Total do Item (R$)")</f>
        <v>Valor Total do Item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/>
      </c>
      <c r="G14" s="152" t="str">
        <f ca="1">IF(RegimeExecucao="Global","",ORÇAMENTO!T14)</f>
        <v/>
      </c>
      <c r="H14" s="152" t="str">
        <f ca="1">IF(RegimeExecucao="Global","",ORÇAMENTO!W14)</f>
        <v/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71" t="str">
        <f>"Objeto do CTEF: "&amp;Import.DescLote</f>
        <v>Objeto do CTEF: CONSTRUÇÃO DE CÓPA E APOIO PARA FUNCIONÁRIOS PÁTIO DE MAQUINAS</v>
      </c>
      <c r="E15" s="771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7" t="str">
        <f ca="1">"Preencher abaixo com a "&amp;CHOOSE(MATCH(RegimeExecucao,{"Unitário","Global"},0),"QUANTIDADE","PORCENTAGEM")&amp;" executada no PERÍODO"</f>
        <v>Preencher abaixo com a PORCENTAGEM executada no PERÍODO</v>
      </c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OBRA</v>
      </c>
      <c r="F16" s="208" t="str">
        <f t="shared" ref="F16:F79" ca="1" si="3">IF(RegimeExecucao="Global","",ORÇAMENTO.Unidade)</f>
        <v/>
      </c>
      <c r="G16" s="152" t="str">
        <f ca="1">IF(RegimeExecucao="Global","",ORÇAMENTO!T16)</f>
        <v/>
      </c>
      <c r="H16" s="152" t="str">
        <f ca="1">IF(RegimeExecucao="Global","",ORÇAMENTO!W16)</f>
        <v/>
      </c>
      <c r="I16" s="155">
        <f ca="1">ORÇAMENTO!X16</f>
        <v>137954.57999999999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7</v>
      </c>
      <c r="C17" s="144" t="str">
        <f t="shared" ca="1" si="1"/>
        <v>F</v>
      </c>
      <c r="D17" s="147" t="str">
        <f ca="1">ORÇAMENTO!O17</f>
        <v>1.1.</v>
      </c>
      <c r="E17" s="207" t="str">
        <f t="shared" ca="1" si="2"/>
        <v>SERVIÇOS PRELIMINARES</v>
      </c>
      <c r="F17" s="208" t="str">
        <f t="shared" ca="1" si="3"/>
        <v/>
      </c>
      <c r="G17" s="152" t="str">
        <f ca="1">IF(RegimeExecucao="Global","",ORÇAMENTO!T17)</f>
        <v/>
      </c>
      <c r="H17" s="152" t="str">
        <f ca="1">IF(RegimeExecucao="Global","",ORÇAMENTO!W17)</f>
        <v/>
      </c>
      <c r="I17" s="155">
        <f ca="1">ORÇAMENTO!X17</f>
        <v>951.81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>PLACA DE OBRA (PARA CONSTRUCAO CIVIL) EM CHAPA GALVANIZADA *N. 22*, ADESIVADA, DE *2,0 X 1,125* M</v>
      </c>
      <c r="F18" s="208" t="str">
        <f t="shared" ca="1" si="3"/>
        <v/>
      </c>
      <c r="G18" s="152" t="str">
        <f ca="1">IF(RegimeExecucao="Global","",ORÇAMENTO!T18)</f>
        <v/>
      </c>
      <c r="H18" s="152" t="str">
        <f ca="1">IF(RegimeExecucao="Global","",ORÇAMENTO!W18)</f>
        <v/>
      </c>
      <c r="I18" s="155">
        <f ca="1">ORÇAMENTO!X18</f>
        <v>951.81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/>
      </c>
      <c r="D19" s="147" t="str">
        <f ca="1">ORÇAMENTO!O19</f>
        <v>-</v>
      </c>
      <c r="E19" s="207" t="str">
        <f t="shared" ca="1" si="2"/>
        <v>(Sem Código)</v>
      </c>
      <c r="F19" s="208" t="str">
        <f t="shared" ca="1" si="3"/>
        <v/>
      </c>
      <c r="G19" s="152" t="str">
        <f ca="1">IF(RegimeExecucao="Global","",ORÇAMENTO!T19)</f>
        <v/>
      </c>
      <c r="H19" s="152" t="str">
        <f ca="1">IF(RegimeExecucao="Global","",ORÇAMENTO!W19)</f>
        <v/>
      </c>
      <c r="I19" s="155">
        <f ca="1">ORÇAMENTO!X19</f>
        <v>0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/>
      </c>
      <c r="D20" s="147" t="str">
        <f ca="1">ORÇAMENTO!O20</f>
        <v>-</v>
      </c>
      <c r="E20" s="207" t="str">
        <f t="shared" ca="1" si="2"/>
        <v>(Sem Código)</v>
      </c>
      <c r="F20" s="208" t="str">
        <f t="shared" ca="1" si="3"/>
        <v/>
      </c>
      <c r="G20" s="152" t="str">
        <f ca="1">IF(RegimeExecucao="Global","",ORÇAMENTO!T20)</f>
        <v/>
      </c>
      <c r="H20" s="152" t="str">
        <f ca="1">IF(RegimeExecucao="Global","",ORÇAMENTO!W20)</f>
        <v/>
      </c>
      <c r="I20" s="155">
        <f ca="1">ORÇAMENTO!X20</f>
        <v>0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/>
      </c>
      <c r="D21" s="147" t="str">
        <f ca="1">ORÇAMENTO!O21</f>
        <v>-</v>
      </c>
      <c r="E21" s="207" t="str">
        <f t="shared" ca="1" si="2"/>
        <v>(Sem Código)</v>
      </c>
      <c r="F21" s="208" t="str">
        <f t="shared" ca="1" si="3"/>
        <v/>
      </c>
      <c r="G21" s="152" t="str">
        <f ca="1">IF(RegimeExecucao="Global","",ORÇAMENTO!T21)</f>
        <v/>
      </c>
      <c r="H21" s="152" t="str">
        <f ca="1">IF(RegimeExecucao="Global","",ORÇAMENTO!W21)</f>
        <v/>
      </c>
      <c r="I21" s="155">
        <f ca="1">ORÇAMENTO!X21</f>
        <v>0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44" t="str">
        <f t="shared" ca="1" si="1"/>
        <v/>
      </c>
      <c r="D22" s="147" t="str">
        <f ca="1">ORÇAMENTO!O22</f>
        <v>-</v>
      </c>
      <c r="E22" s="207" t="str">
        <f t="shared" ca="1" si="2"/>
        <v>(Sem Código)</v>
      </c>
      <c r="F22" s="208" t="str">
        <f t="shared" ca="1" si="3"/>
        <v/>
      </c>
      <c r="G22" s="152" t="str">
        <f ca="1">IF(RegimeExecucao="Global","",ORÇAMENTO!T22)</f>
        <v/>
      </c>
      <c r="H22" s="152" t="str">
        <f ca="1">IF(RegimeExecucao="Global","",ORÇAMENTO!W22)</f>
        <v/>
      </c>
      <c r="I22" s="155">
        <f ca="1">ORÇAMENTO!X22</f>
        <v>0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/>
      </c>
      <c r="D23" s="147" t="str">
        <f ca="1">ORÇAMENTO!O23</f>
        <v>-</v>
      </c>
      <c r="E23" s="207" t="str">
        <f t="shared" ca="1" si="2"/>
        <v>(Sem Código)</v>
      </c>
      <c r="F23" s="208" t="str">
        <f t="shared" ca="1" si="3"/>
        <v/>
      </c>
      <c r="G23" s="152" t="str">
        <f ca="1">IF(RegimeExecucao="Global","",ORÇAMENTO!T23)</f>
        <v/>
      </c>
      <c r="H23" s="152" t="str">
        <f ca="1">IF(RegimeExecucao="Global","",ORÇAMENTO!W23)</f>
        <v/>
      </c>
      <c r="I23" s="155">
        <f ca="1">ORÇAMENTO!X23</f>
        <v>0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>
        <f ca="1">ORÇAMENTO!C24</f>
        <v>2</v>
      </c>
      <c r="B24">
        <f ca="1">ORÇAMENTO!D24</f>
        <v>14</v>
      </c>
      <c r="C24" s="144" t="str">
        <f t="shared" ca="1" si="1"/>
        <v>F</v>
      </c>
      <c r="D24" s="147" t="str">
        <f ca="1">ORÇAMENTO!O24</f>
        <v>1.2.</v>
      </c>
      <c r="E24" s="207" t="str">
        <f t="shared" ca="1" si="2"/>
        <v>FUNDAÇÃO E ESTRUTURA</v>
      </c>
      <c r="F24" s="208" t="str">
        <f t="shared" ca="1" si="3"/>
        <v/>
      </c>
      <c r="G24" s="152" t="str">
        <f ca="1">IF(RegimeExecucao="Global","",ORÇAMENTO!T24)</f>
        <v/>
      </c>
      <c r="H24" s="152" t="str">
        <f ca="1">IF(RegimeExecucao="Global","",ORÇAMENTO!W24)</f>
        <v/>
      </c>
      <c r="I24" s="155">
        <f ca="1">ORÇAMENTO!X24</f>
        <v>27692.71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25.5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1.2.1.</v>
      </c>
      <c r="E25" s="207" t="str">
        <f t="shared" ca="1" si="2"/>
        <v>CONCRETO FCK = 25MPA, TRAÇO 1:2,3:2,7 (CIMENTO/ AREIA MÉDIA/ BRITA 1)  - PREPARO MECÂNICO COM BETONEIRA 600 L. AF_07/2016</v>
      </c>
      <c r="F25" s="208" t="str">
        <f t="shared" ca="1" si="3"/>
        <v/>
      </c>
      <c r="G25" s="152" t="str">
        <f ca="1">IF(RegimeExecucao="Global","",ORÇAMENTO!T25)</f>
        <v/>
      </c>
      <c r="H25" s="152" t="str">
        <f ca="1">IF(RegimeExecucao="Global","",ORÇAMENTO!W25)</f>
        <v/>
      </c>
      <c r="I25" s="155">
        <f ca="1">ORÇAMENTO!X25</f>
        <v>4290.33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38.25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1.2.2.</v>
      </c>
      <c r="E26" s="207" t="str">
        <f t="shared" ca="1" si="2"/>
        <v>ARMAÇÃO DE ESTRUTURAS DE CONCRETO ARMADO, EXCETO VIGAS, PILARES, LAJES E FUNDAÇÕES, UTILIZANDO AÇO CA-50 DE 10,0 MM - MONTAGEM. AF_12/2015</v>
      </c>
      <c r="F26" s="208" t="str">
        <f t="shared" ca="1" si="3"/>
        <v/>
      </c>
      <c r="G26" s="152" t="str">
        <f ca="1">IF(RegimeExecucao="Global","",ORÇAMENTO!T26)</f>
        <v/>
      </c>
      <c r="H26" s="152" t="str">
        <f ca="1">IF(RegimeExecucao="Global","",ORÇAMENTO!W26)</f>
        <v/>
      </c>
      <c r="I26" s="155">
        <f ca="1">ORÇAMENTO!X26</f>
        <v>8677.5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1.2.3.</v>
      </c>
      <c r="E27" s="207" t="str">
        <f t="shared" ca="1" si="2"/>
        <v>ACO CA-50, 6,3 MM, DOBRADO E CORTADO</v>
      </c>
      <c r="F27" s="208" t="str">
        <f t="shared" ca="1" si="3"/>
        <v/>
      </c>
      <c r="G27" s="152" t="str">
        <f ca="1">IF(RegimeExecucao="Global","",ORÇAMENTO!T27)</f>
        <v/>
      </c>
      <c r="H27" s="152" t="str">
        <f ca="1">IF(RegimeExecucao="Global","",ORÇAMENTO!W27)</f>
        <v/>
      </c>
      <c r="I27" s="155">
        <f ca="1">ORÇAMENTO!X27</f>
        <v>7900.72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25.5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>F</v>
      </c>
      <c r="D28" s="147" t="str">
        <f ca="1">ORÇAMENTO!O28</f>
        <v>1.2.4.</v>
      </c>
      <c r="E28" s="207" t="str">
        <f t="shared" ca="1" si="2"/>
        <v>TABUA DE MADEIRA NAO APARELHADA *2,5 X 30* CM, CEDRINHO OU EQUIVALENTE DA REGIAO</v>
      </c>
      <c r="F28" s="208" t="str">
        <f t="shared" ca="1" si="3"/>
        <v/>
      </c>
      <c r="G28" s="152" t="str">
        <f ca="1">IF(RegimeExecucao="Global","",ORÇAMENTO!T28)</f>
        <v/>
      </c>
      <c r="H28" s="152" t="str">
        <f ca="1">IF(RegimeExecucao="Global","",ORÇAMENTO!W28)</f>
        <v/>
      </c>
      <c r="I28" s="155">
        <f ca="1">ORÇAMENTO!X28</f>
        <v>2033.6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25.5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1.2.5.</v>
      </c>
      <c r="E29" s="207" t="str">
        <f t="shared" ca="1" si="2"/>
        <v>ESCAVAÇÃO MANUAL PARA BLOCO DE COROAMENTO OU SAPATA, SEM PREVISÃO DE FÔRMA. AF_06/2017</v>
      </c>
      <c r="F29" s="208" t="str">
        <f t="shared" ca="1" si="3"/>
        <v/>
      </c>
      <c r="G29" s="152" t="str">
        <f ca="1">IF(RegimeExecucao="Global","",ORÇAMENTO!T29)</f>
        <v/>
      </c>
      <c r="H29" s="152" t="str">
        <f ca="1">IF(RegimeExecucao="Global","",ORÇAMENTO!W29)</f>
        <v/>
      </c>
      <c r="I29" s="155">
        <f ca="1">ORÇAMENTO!X29</f>
        <v>697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25.5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>F</v>
      </c>
      <c r="D30" s="147" t="str">
        <f ca="1">ORÇAMENTO!O30</f>
        <v>1.2.6.</v>
      </c>
      <c r="E30" s="207" t="str">
        <f t="shared" ca="1" si="2"/>
        <v>IMPERMEABILIZAÇÃO DE SUPERFÍCIE COM EMULSÃO ASFÁLTICA, 2 DEMÃOS AF_06/2018</v>
      </c>
      <c r="F30" s="208" t="str">
        <f t="shared" ca="1" si="3"/>
        <v/>
      </c>
      <c r="G30" s="152" t="str">
        <f ca="1">IF(RegimeExecucao="Global","",ORÇAMENTO!T30)</f>
        <v/>
      </c>
      <c r="H30" s="152" t="str">
        <f ca="1">IF(RegimeExecucao="Global","",ORÇAMENTO!W30)</f>
        <v/>
      </c>
      <c r="I30" s="155">
        <f ca="1">ORÇAMENTO!X30</f>
        <v>1442.7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38.25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1.2.7.</v>
      </c>
      <c r="E31" s="207" t="str">
        <f t="shared" ca="1" si="2"/>
        <v>ALVENARIA DE EMBASAMENTO COM BLOCO ESTRUTURAL DE CERÂMICA, DE 14X19X29CM E ARGAMASSA DE ASSENTAMENTO COM PREPARO EM BETONEIRA. AF_05/2020</v>
      </c>
      <c r="F31" s="208" t="str">
        <f t="shared" ca="1" si="3"/>
        <v/>
      </c>
      <c r="G31" s="152" t="str">
        <f ca="1">IF(RegimeExecucao="Global","",ORÇAMENTO!T31)</f>
        <v/>
      </c>
      <c r="H31" s="152" t="str">
        <f ca="1">IF(RegimeExecucao="Global","",ORÇAMENTO!W31)</f>
        <v/>
      </c>
      <c r="I31" s="155">
        <f ca="1">ORÇAMENTO!X31</f>
        <v>2650.86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(Sem Código)</v>
      </c>
      <c r="F32" s="208" t="str">
        <f t="shared" ca="1" si="3"/>
        <v/>
      </c>
      <c r="G32" s="152" t="str">
        <f ca="1">IF(RegimeExecucao="Global","",ORÇAMENTO!T32)</f>
        <v/>
      </c>
      <c r="H32" s="152" t="str">
        <f ca="1">IF(RegimeExecucao="Global","",ORÇAMENTO!W32)</f>
        <v/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/>
      </c>
      <c r="G33" s="152" t="str">
        <f ca="1">IF(RegimeExecucao="Global","",ORÇAMENTO!T33)</f>
        <v/>
      </c>
      <c r="H33" s="152" t="str">
        <f ca="1">IF(RegimeExecucao="Global","",ORÇAMENTO!W33)</f>
        <v/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44" t="str">
        <f t="shared" ca="1" si="1"/>
        <v/>
      </c>
      <c r="D34" s="147" t="str">
        <f ca="1">ORÇAMENTO!O34</f>
        <v>-</v>
      </c>
      <c r="E34" s="207" t="str">
        <f t="shared" ca="1" si="2"/>
        <v>(Sem Código)</v>
      </c>
      <c r="F34" s="208" t="str">
        <f t="shared" ca="1" si="3"/>
        <v/>
      </c>
      <c r="G34" s="152" t="str">
        <f ca="1">IF(RegimeExecucao="Global","",ORÇAMENTO!T34)</f>
        <v/>
      </c>
      <c r="H34" s="152" t="str">
        <f ca="1">IF(RegimeExecucao="Global","",ORÇAMENTO!W34)</f>
        <v/>
      </c>
      <c r="I34" s="155">
        <f ca="1">ORÇAMENTO!X34</f>
        <v>0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/>
      </c>
      <c r="D35" s="147" t="str">
        <f ca="1">ORÇAMENTO!O35</f>
        <v>-</v>
      </c>
      <c r="E35" s="207" t="str">
        <f t="shared" ca="1" si="2"/>
        <v>(Sem Código)</v>
      </c>
      <c r="F35" s="208" t="str">
        <f t="shared" ca="1" si="3"/>
        <v/>
      </c>
      <c r="G35" s="152" t="str">
        <f ca="1">IF(RegimeExecucao="Global","",ORÇAMENTO!T35)</f>
        <v/>
      </c>
      <c r="H35" s="152" t="str">
        <f ca="1">IF(RegimeExecucao="Global","",ORÇAMENTO!W35)</f>
        <v/>
      </c>
      <c r="I35" s="155">
        <f ca="1">ORÇAMENTO!X35</f>
        <v>0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/>
      </c>
      <c r="D36" s="147" t="str">
        <f ca="1">ORÇAMENTO!O36</f>
        <v>-</v>
      </c>
      <c r="E36" s="207" t="str">
        <f t="shared" ca="1" si="2"/>
        <v>(Sem Código)</v>
      </c>
      <c r="F36" s="208" t="str">
        <f t="shared" ca="1" si="3"/>
        <v/>
      </c>
      <c r="G36" s="152" t="str">
        <f ca="1">IF(RegimeExecucao="Global","",ORÇAMENTO!T36)</f>
        <v/>
      </c>
      <c r="H36" s="152" t="str">
        <f ca="1">IF(RegimeExecucao="Global","",ORÇAMENTO!W36)</f>
        <v/>
      </c>
      <c r="I36" s="155">
        <f ca="1">ORÇAMENTO!X36</f>
        <v>0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/>
      </c>
      <c r="D37" s="147" t="str">
        <f ca="1">ORÇAMENTO!O37</f>
        <v>-</v>
      </c>
      <c r="E37" s="207" t="str">
        <f t="shared" ca="1" si="2"/>
        <v>(Sem Código)</v>
      </c>
      <c r="F37" s="208" t="str">
        <f t="shared" ca="1" si="3"/>
        <v/>
      </c>
      <c r="G37" s="152" t="str">
        <f ca="1">IF(RegimeExecucao="Global","",ORÇAMENTO!T37)</f>
        <v/>
      </c>
      <c r="H37" s="152" t="str">
        <f ca="1">IF(RegimeExecucao="Global","",ORÇAMENTO!W37)</f>
        <v/>
      </c>
      <c r="I37" s="155">
        <f ca="1">ORÇAMENTO!X37</f>
        <v>0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>
        <f ca="1">ORÇAMENTO!C38</f>
        <v>2</v>
      </c>
      <c r="B38">
        <f ca="1">ORÇAMENTO!D38</f>
        <v>12</v>
      </c>
      <c r="C38" s="144" t="str">
        <f t="shared" ca="1" si="1"/>
        <v>F</v>
      </c>
      <c r="D38" s="147" t="str">
        <f ca="1">ORÇAMENTO!O38</f>
        <v>1.3.</v>
      </c>
      <c r="E38" s="207" t="str">
        <f t="shared" ca="1" si="2"/>
        <v>PAREDES E FECHAMENTOS</v>
      </c>
      <c r="F38" s="208" t="str">
        <f t="shared" ca="1" si="3"/>
        <v/>
      </c>
      <c r="G38" s="152" t="str">
        <f ca="1">IF(RegimeExecucao="Global","",ORÇAMENTO!T38)</f>
        <v/>
      </c>
      <c r="H38" s="152" t="str">
        <f ca="1">IF(RegimeExecucao="Global","",ORÇAMENTO!W38)</f>
        <v/>
      </c>
      <c r="I38" s="155">
        <f ca="1">ORÇAMENTO!X38</f>
        <v>29609.11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ht="5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>F</v>
      </c>
      <c r="D39" s="147" t="str">
        <f ca="1">ORÇAMENTO!O39</f>
        <v>1.3.1.</v>
      </c>
      <c r="E39" s="207" t="str">
        <f t="shared" ca="1" si="2"/>
        <v>ALVENARIA DE VEDAÇÃO DE BLOCOS CERÂMICOS FURADOS NA VERTICAL DE 9X19X39CM (ESPESSURA 9CM) DE PAREDES COM ÁREA LÍQUIDA MAIOR OU IGUAL A 6M² SEM VÃOS E ARGAMASSA DE ASSENTAMENTO COM PREPARO MANUAL. AF_06/2014</v>
      </c>
      <c r="F39" s="208" t="str">
        <f t="shared" ca="1" si="3"/>
        <v/>
      </c>
      <c r="G39" s="152" t="str">
        <f ca="1">IF(RegimeExecucao="Global","",ORÇAMENTO!T39)</f>
        <v/>
      </c>
      <c r="H39" s="152" t="str">
        <f ca="1">IF(RegimeExecucao="Global","",ORÇAMENTO!W39)</f>
        <v/>
      </c>
      <c r="I39" s="155">
        <f ca="1">ORÇAMENTO!X39</f>
        <v>9651.2000000000007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ht="5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>F</v>
      </c>
      <c r="D40" s="147" t="str">
        <f ca="1">ORÇAMENTO!O40</f>
        <v>1.3.2.</v>
      </c>
      <c r="E40" s="207" t="str">
        <f t="shared" ca="1" si="2"/>
        <v>EMBOÇO OU MASSA ÚNICA EM ARGAMASSA TRAÇO 1:2:8, PREPARO MECÂNICO COM BETONEIRA 400 L, APLICADA MANUALMENTE EM PANOS CEGOS DE FACHADA (SEM PRESENÇA DE VÃOS), ESPESSURA DE 35 MM. AF_06/2014</v>
      </c>
      <c r="F40" s="208" t="str">
        <f t="shared" ca="1" si="3"/>
        <v/>
      </c>
      <c r="G40" s="152" t="str">
        <f ca="1">IF(RegimeExecucao="Global","",ORÇAMENTO!T40)</f>
        <v/>
      </c>
      <c r="H40" s="152" t="str">
        <f ca="1">IF(RegimeExecucao="Global","",ORÇAMENTO!W40)</f>
        <v/>
      </c>
      <c r="I40" s="155">
        <f ca="1">ORÇAMENTO!X40</f>
        <v>8727.9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ht="5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>F</v>
      </c>
      <c r="D41" s="147" t="str">
        <f ca="1">ORÇAMENTO!O41</f>
        <v>1.3.3.</v>
      </c>
      <c r="E41" s="207" t="str">
        <f t="shared" si="2"/>
        <v>EMBOÇO, EM ARGAMASSA TRAÇO 1:2:8, PREPARO MANUAL, APLICADO MANUALMENTE EM FACES INTERNAS DE PAREDES, PARA AMBIENTE COM ÁREA  ENTRE 5M2 E 10M2, ESPESSURA DE 20MM, COM EXECUÇÃO DE TALISCAS. AF_06/2014</v>
      </c>
      <c r="F41" s="208" t="str">
        <f t="shared" ca="1" si="3"/>
        <v/>
      </c>
      <c r="G41" s="152" t="str">
        <f ca="1">IF(RegimeExecucao="Global","",ORÇAMENTO!T41)</f>
        <v/>
      </c>
      <c r="H41" s="152" t="str">
        <f ca="1">IF(RegimeExecucao="Global","",ORÇAMENTO!W41)</f>
        <v/>
      </c>
      <c r="I41" s="155">
        <f ca="1">ORÇAMENTO!X41</f>
        <v>8186.97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ht="51" x14ac:dyDescent="0.2">
      <c r="A42" t="str">
        <f ca="1">ORÇAMENTO!C42</f>
        <v>S</v>
      </c>
      <c r="B42">
        <f ca="1">ORÇAMENTO!D42</f>
        <v>0</v>
      </c>
      <c r="C42" s="144" t="str">
        <f t="shared" ca="1" si="1"/>
        <v>F</v>
      </c>
      <c r="D42" s="147" t="str">
        <f ca="1">ORÇAMENTO!O42</f>
        <v>1.3.4.</v>
      </c>
      <c r="E42" s="207" t="str">
        <f t="shared" ca="1" si="2"/>
        <v>CHAPISCO APLICADO EM ALVENARIA (SEM PRESENÇA DE VÃOS) E ESTRUTURAS DE CONCRETO DE FACHADA, COM COLHER DE PEDREIRO.  ARGAMASSA TRAÇO 1:3 COM PREPARO EM BETONEIRA 400L. AF_06/2014</v>
      </c>
      <c r="F42" s="208" t="str">
        <f t="shared" ca="1" si="3"/>
        <v/>
      </c>
      <c r="G42" s="152" t="str">
        <f ca="1">IF(RegimeExecucao="Global","",ORÇAMENTO!T42)</f>
        <v/>
      </c>
      <c r="H42" s="152" t="str">
        <f ca="1">IF(RegimeExecucao="Global","",ORÇAMENTO!W42)</f>
        <v/>
      </c>
      <c r="I42" s="155">
        <f ca="1">ORÇAMENTO!X42</f>
        <v>3043.04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/>
      </c>
      <c r="D43" s="147" t="str">
        <f ca="1">ORÇAMENTO!O43</f>
        <v>-</v>
      </c>
      <c r="E43" s="207" t="str">
        <f t="shared" ca="1" si="2"/>
        <v>(Sem Código)</v>
      </c>
      <c r="F43" s="208" t="str">
        <f t="shared" ca="1" si="3"/>
        <v/>
      </c>
      <c r="G43" s="152" t="str">
        <f ca="1">IF(RegimeExecucao="Global","",ORÇAMENTO!T43)</f>
        <v/>
      </c>
      <c r="H43" s="152" t="str">
        <f ca="1">IF(RegimeExecucao="Global","",ORÇAMENTO!W43)</f>
        <v/>
      </c>
      <c r="I43" s="155">
        <f ca="1">ORÇAMENTO!X43</f>
        <v>0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/>
      </c>
      <c r="D44" s="147" t="str">
        <f ca="1">ORÇAMENTO!O44</f>
        <v>-</v>
      </c>
      <c r="E44" s="207" t="str">
        <f t="shared" ca="1" si="2"/>
        <v>(Sem Código)</v>
      </c>
      <c r="F44" s="208" t="str">
        <f t="shared" ca="1" si="3"/>
        <v/>
      </c>
      <c r="G44" s="152" t="str">
        <f ca="1">IF(RegimeExecucao="Global","",ORÇAMENTO!T44)</f>
        <v/>
      </c>
      <c r="H44" s="152" t="str">
        <f ca="1">IF(RegimeExecucao="Global","",ORÇAMENTO!W44)</f>
        <v/>
      </c>
      <c r="I44" s="155">
        <f ca="1">ORÇAMENTO!X44</f>
        <v>0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/>
      </c>
      <c r="D45" s="147" t="str">
        <f ca="1">ORÇAMENTO!O45</f>
        <v>-</v>
      </c>
      <c r="E45" s="207" t="str">
        <f t="shared" ca="1" si="2"/>
        <v>(Sem Código)</v>
      </c>
      <c r="F45" s="208" t="str">
        <f t="shared" ca="1" si="3"/>
        <v/>
      </c>
      <c r="G45" s="152" t="str">
        <f ca="1">IF(RegimeExecucao="Global","",ORÇAMENTO!T45)</f>
        <v/>
      </c>
      <c r="H45" s="152" t="str">
        <f ca="1">IF(RegimeExecucao="Global","",ORÇAMENTO!W45)</f>
        <v/>
      </c>
      <c r="I45" s="155">
        <f ca="1">ORÇAMENTO!X45</f>
        <v>0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/>
      </c>
      <c r="D46" s="147" t="str">
        <f ca="1">ORÇAMENTO!O46</f>
        <v>-</v>
      </c>
      <c r="E46" s="207" t="str">
        <f t="shared" ca="1" si="2"/>
        <v>(Sem Código)</v>
      </c>
      <c r="F46" s="208" t="str">
        <f t="shared" ca="1" si="3"/>
        <v/>
      </c>
      <c r="G46" s="152" t="str">
        <f ca="1">IF(RegimeExecucao="Global","",ORÇAMENTO!T46)</f>
        <v/>
      </c>
      <c r="H46" s="152" t="str">
        <f ca="1">IF(RegimeExecucao="Global","",ORÇAMENTO!W46)</f>
        <v/>
      </c>
      <c r="I46" s="155">
        <f ca="1">ORÇAMENTO!X46</f>
        <v>0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/>
      </c>
      <c r="D47" s="147" t="str">
        <f ca="1">ORÇAMENTO!O47</f>
        <v>-</v>
      </c>
      <c r="E47" s="207" t="str">
        <f t="shared" ca="1" si="2"/>
        <v>(Sem Código)</v>
      </c>
      <c r="F47" s="208" t="str">
        <f t="shared" ca="1" si="3"/>
        <v/>
      </c>
      <c r="G47" s="152" t="str">
        <f ca="1">IF(RegimeExecucao="Global","",ORÇAMENTO!T47)</f>
        <v/>
      </c>
      <c r="H47" s="152" t="str">
        <f ca="1">IF(RegimeExecucao="Global","",ORÇAMENTO!W47)</f>
        <v/>
      </c>
      <c r="I47" s="155">
        <f ca="1">ORÇAMENTO!X47</f>
        <v>0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/>
      </c>
      <c r="D48" s="147" t="str">
        <f ca="1">ORÇAMENTO!O48</f>
        <v>-</v>
      </c>
      <c r="E48" s="207" t="str">
        <f t="shared" ca="1" si="2"/>
        <v>(Sem Código)</v>
      </c>
      <c r="F48" s="208" t="str">
        <f t="shared" ca="1" si="3"/>
        <v/>
      </c>
      <c r="G48" s="152" t="str">
        <f ca="1">IF(RegimeExecucao="Global","",ORÇAMENTO!T48)</f>
        <v/>
      </c>
      <c r="H48" s="152" t="str">
        <f ca="1">IF(RegimeExecucao="Global","",ORÇAMENTO!W48)</f>
        <v/>
      </c>
      <c r="I48" s="155">
        <f ca="1">ORÇAMENTO!X48</f>
        <v>0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/>
      </c>
      <c r="D49" s="147" t="str">
        <f ca="1">ORÇAMENTO!O49</f>
        <v>-</v>
      </c>
      <c r="E49" s="207" t="str">
        <f t="shared" ca="1" si="2"/>
        <v>(Sem Código)</v>
      </c>
      <c r="F49" s="208" t="str">
        <f t="shared" ca="1" si="3"/>
        <v/>
      </c>
      <c r="G49" s="152" t="str">
        <f ca="1">IF(RegimeExecucao="Global","",ORÇAMENTO!T49)</f>
        <v/>
      </c>
      <c r="H49" s="152" t="str">
        <f ca="1">IF(RegimeExecucao="Global","",ORÇAMENTO!W49)</f>
        <v/>
      </c>
      <c r="I49" s="155">
        <f ca="1">ORÇAMENTO!X49</f>
        <v>0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>
        <f ca="1">ORÇAMENTO!C50</f>
        <v>2</v>
      </c>
      <c r="B50">
        <f ca="1">ORÇAMENTO!D50</f>
        <v>10</v>
      </c>
      <c r="C50" s="144" t="str">
        <f t="shared" ca="1" si="1"/>
        <v>F</v>
      </c>
      <c r="D50" s="147" t="str">
        <f ca="1">ORÇAMENTO!O50</f>
        <v>1.4.</v>
      </c>
      <c r="E50" s="207" t="str">
        <f t="shared" ca="1" si="2"/>
        <v>COBERTURA</v>
      </c>
      <c r="F50" s="208" t="str">
        <f t="shared" ca="1" si="3"/>
        <v/>
      </c>
      <c r="G50" s="152" t="str">
        <f ca="1">IF(RegimeExecucao="Global","",ORÇAMENTO!T50)</f>
        <v/>
      </c>
      <c r="H50" s="152" t="str">
        <f ca="1">IF(RegimeExecucao="Global","",ORÇAMENTO!W50)</f>
        <v/>
      </c>
      <c r="I50" s="155">
        <f ca="1">ORÇAMENTO!X50</f>
        <v>20837.439999999999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ht="76.5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>F</v>
      </c>
      <c r="D51" s="147" t="str">
        <f ca="1">ORÇAMENTO!O51</f>
        <v>1.4.1.</v>
      </c>
      <c r="E51" s="207" t="str">
        <f t="shared" ca="1" si="2"/>
        <v>ESTRUTURA METALICA EM TESOURAS OU TRELIÇAS, VÃO LICRE DE 15M, FORNECIMENTO E MONTAGEM, SENDO CONSIDERADOS FECHAMENTOS METALICOS DE ALUZINCO COM PINTURA, NAO SENDO CONSIDERADO, COLUNAS, OS SERVIÇOS GERAIS EM ALVENARIA E CONCRETO, AS TELHAS DE COBERTURA (CONFORME PROJETO).</v>
      </c>
      <c r="F51" s="208" t="str">
        <f t="shared" ca="1" si="3"/>
        <v/>
      </c>
      <c r="G51" s="152" t="str">
        <f ca="1">IF(RegimeExecucao="Global","",ORÇAMENTO!T51)</f>
        <v/>
      </c>
      <c r="H51" s="152" t="str">
        <f ca="1">IF(RegimeExecucao="Global","",ORÇAMENTO!W51)</f>
        <v/>
      </c>
      <c r="I51" s="155">
        <f ca="1">ORÇAMENTO!X51</f>
        <v>10975.8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ht="5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>F</v>
      </c>
      <c r="D52" s="147" t="str">
        <f ca="1">ORÇAMENTO!O52</f>
        <v>1.4.2.</v>
      </c>
      <c r="E52" s="207" t="str">
        <f t="shared" ca="1" si="2"/>
        <v>TELHAMENTO COM TELHA ONDULADA DE FIBROCIMENTO E = 6 MM, COM RECOBRIMENTO LATERAL DE 1/4 DE ONDA PARA TELHADO COM INCLINAÇÃO MAIOR QUE 10°, COM ATÉ 2 ÁGUAS, INCLUSO IÇAMENTO. AF_07/2019</v>
      </c>
      <c r="F52" s="208" t="str">
        <f t="shared" ca="1" si="3"/>
        <v/>
      </c>
      <c r="G52" s="152" t="str">
        <f ca="1">IF(RegimeExecucao="Global","",ORÇAMENTO!T52)</f>
        <v/>
      </c>
      <c r="H52" s="152" t="str">
        <f ca="1">IF(RegimeExecucao="Global","",ORÇAMENTO!W52)</f>
        <v/>
      </c>
      <c r="I52" s="155">
        <f ca="1">ORÇAMENTO!X52</f>
        <v>4222.8999999999996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ht="25.5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>F</v>
      </c>
      <c r="D53" s="147" t="str">
        <f ca="1">ORÇAMENTO!O53</f>
        <v>1.4.3.</v>
      </c>
      <c r="E53" s="207" t="str">
        <f t="shared" ca="1" si="2"/>
        <v>CALHA QUADRADA DE CHAPA DE ACO GALVANIZADA NUM 24, CORTE 50 CM</v>
      </c>
      <c r="F53" s="208" t="str">
        <f t="shared" ca="1" si="3"/>
        <v/>
      </c>
      <c r="G53" s="152" t="str">
        <f ca="1">IF(RegimeExecucao="Global","",ORÇAMENTO!T53)</f>
        <v/>
      </c>
      <c r="H53" s="152" t="str">
        <f ca="1">IF(RegimeExecucao="Global","",ORÇAMENTO!W53)</f>
        <v/>
      </c>
      <c r="I53" s="155">
        <f ca="1">ORÇAMENTO!X53</f>
        <v>573.45000000000005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/>
      </c>
      <c r="G54" s="152" t="str">
        <f ca="1">IF(RegimeExecucao="Global","",ORÇAMENTO!T54)</f>
        <v/>
      </c>
      <c r="H54" s="152" t="str">
        <f ca="1">IF(RegimeExecucao="Global","",ORÇAMENTO!W54)</f>
        <v/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ht="25.5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>F</v>
      </c>
      <c r="D55" s="147" t="str">
        <f ca="1">ORÇAMENTO!O55</f>
        <v>1.4.4.</v>
      </c>
      <c r="E55" s="207" t="str">
        <f t="shared" ca="1" si="2"/>
        <v>FORRO EM RÉGUAS DE PVC, LISO, PARA AMBIENTES RESIDENCIAIS, INCLUSIVE ESTRUTURA DE FIXAÇÃO. AF_05/2017_P</v>
      </c>
      <c r="F55" s="208" t="str">
        <f t="shared" ca="1" si="3"/>
        <v/>
      </c>
      <c r="G55" s="152" t="str">
        <f ca="1">IF(RegimeExecucao="Global","",ORÇAMENTO!T55)</f>
        <v/>
      </c>
      <c r="H55" s="152" t="str">
        <f ca="1">IF(RegimeExecucao="Global","",ORÇAMENTO!W55)</f>
        <v/>
      </c>
      <c r="I55" s="155">
        <f ca="1">ORÇAMENTO!X55</f>
        <v>5065.29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/>
      </c>
      <c r="G56" s="152" t="str">
        <f ca="1">IF(RegimeExecucao="Global","",ORÇAMENTO!T56)</f>
        <v/>
      </c>
      <c r="H56" s="152" t="str">
        <f ca="1">IF(RegimeExecucao="Global","",ORÇAMENTO!W56)</f>
        <v/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/>
      </c>
      <c r="G57" s="152" t="str">
        <f ca="1">IF(RegimeExecucao="Global","",ORÇAMENTO!T57)</f>
        <v/>
      </c>
      <c r="H57" s="152" t="str">
        <f ca="1">IF(RegimeExecucao="Global","",ORÇAMENTO!W57)</f>
        <v/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/>
      </c>
      <c r="G58" s="152" t="str">
        <f ca="1">IF(RegimeExecucao="Global","",ORÇAMENTO!T58)</f>
        <v/>
      </c>
      <c r="H58" s="152" t="str">
        <f ca="1">IF(RegimeExecucao="Global","",ORÇAMENTO!W58)</f>
        <v/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/>
      </c>
      <c r="G59" s="152" t="str">
        <f ca="1">IF(RegimeExecucao="Global","",ORÇAMENTO!T59)</f>
        <v/>
      </c>
      <c r="H59" s="152" t="str">
        <f ca="1">IF(RegimeExecucao="Global","",ORÇAMENTO!W59)</f>
        <v/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>
        <f ca="1">ORÇAMENTO!C60</f>
        <v>2</v>
      </c>
      <c r="B60">
        <f ca="1">ORÇAMENTO!D60</f>
        <v>9</v>
      </c>
      <c r="C60" s="144" t="str">
        <f t="shared" ca="1" si="1"/>
        <v>F</v>
      </c>
      <c r="D60" s="147" t="str">
        <f ca="1">ORÇAMENTO!O60</f>
        <v>1.5.</v>
      </c>
      <c r="E60" s="207" t="str">
        <f t="shared" ca="1" si="2"/>
        <v>REVESTIMENTOS DE PISOS</v>
      </c>
      <c r="F60" s="208" t="str">
        <f t="shared" ca="1" si="3"/>
        <v/>
      </c>
      <c r="G60" s="152" t="str">
        <f ca="1">IF(RegimeExecucao="Global","",ORÇAMENTO!T60)</f>
        <v/>
      </c>
      <c r="H60" s="152" t="str">
        <f ca="1">IF(RegimeExecucao="Global","",ORÇAMENTO!W60)</f>
        <v/>
      </c>
      <c r="I60" s="155">
        <f ca="1">ORÇAMENTO!X60</f>
        <v>7082.7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ht="38.25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>F</v>
      </c>
      <c r="D61" s="147" t="str">
        <f ca="1">ORÇAMENTO!O61</f>
        <v>1.5.1.</v>
      </c>
      <c r="E61" s="207" t="str">
        <f t="shared" ca="1" si="2"/>
        <v>REVESTIMENTO CERÂMICO PARA PISO COM PLACAS TIPO ESMALTADA EXTRA DE DIMENSÕES 35X35 CM APLICADA EM AMBIENTES DE ÁREA ENTRE 5 M2 E 10 M2. AF_06/2014</v>
      </c>
      <c r="F61" s="208" t="str">
        <f t="shared" ca="1" si="3"/>
        <v/>
      </c>
      <c r="G61" s="152" t="str">
        <f ca="1">IF(RegimeExecucao="Global","",ORÇAMENTO!T61)</f>
        <v/>
      </c>
      <c r="H61" s="152" t="str">
        <f ca="1">IF(RegimeExecucao="Global","",ORÇAMENTO!W61)</f>
        <v/>
      </c>
      <c r="I61" s="155">
        <f ca="1">ORÇAMENTO!X61</f>
        <v>3371.1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ht="25.5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>F</v>
      </c>
      <c r="D62" s="147" t="str">
        <f ca="1">ORÇAMENTO!O62</f>
        <v>1.5.2.</v>
      </c>
      <c r="E62" s="207" t="str">
        <f t="shared" ca="1" si="2"/>
        <v>ARGAMASSA TRAÇO 1:3 (EM VOLUME DE CIMENTO E AREIA MÉDIA ÚMIDA) PARA CONTRAPISO, PREPARO MANUAL. AF_08/2019</v>
      </c>
      <c r="F62" s="208" t="str">
        <f t="shared" ca="1" si="3"/>
        <v/>
      </c>
      <c r="G62" s="152" t="str">
        <f ca="1">IF(RegimeExecucao="Global","",ORÇAMENTO!T62)</f>
        <v/>
      </c>
      <c r="H62" s="152" t="str">
        <f ca="1">IF(RegimeExecucao="Global","",ORÇAMENTO!W62)</f>
        <v/>
      </c>
      <c r="I62" s="155">
        <f ca="1">ORÇAMENTO!X62</f>
        <v>3711.6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/>
      </c>
      <c r="G63" s="152" t="str">
        <f ca="1">IF(RegimeExecucao="Global","",ORÇAMENTO!T63)</f>
        <v/>
      </c>
      <c r="H63" s="152" t="str">
        <f ca="1">IF(RegimeExecucao="Global","",ORÇAMENTO!W63)</f>
        <v/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/>
      </c>
      <c r="G64" s="152" t="str">
        <f ca="1">IF(RegimeExecucao="Global","",ORÇAMENTO!T64)</f>
        <v/>
      </c>
      <c r="H64" s="152" t="str">
        <f ca="1">IF(RegimeExecucao="Global","",ORÇAMENTO!W64)</f>
        <v/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/>
      </c>
      <c r="G65" s="152" t="str">
        <f ca="1">IF(RegimeExecucao="Global","",ORÇAMENTO!T65)</f>
        <v/>
      </c>
      <c r="H65" s="152" t="str">
        <f ca="1">IF(RegimeExecucao="Global","",ORÇAMENTO!W65)</f>
        <v/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/>
      </c>
      <c r="G66" s="152" t="str">
        <f ca="1">IF(RegimeExecucao="Global","",ORÇAMENTO!T66)</f>
        <v/>
      </c>
      <c r="H66" s="152" t="str">
        <f ca="1">IF(RegimeExecucao="Global","",ORÇAMENTO!W66)</f>
        <v/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/>
      </c>
      <c r="G67" s="152" t="str">
        <f ca="1">IF(RegimeExecucao="Global","",ORÇAMENTO!T67)</f>
        <v/>
      </c>
      <c r="H67" s="152" t="str">
        <f ca="1">IF(RegimeExecucao="Global","",ORÇAMENTO!W67)</f>
        <v/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/>
      </c>
      <c r="G68" s="152" t="str">
        <f ca="1">IF(RegimeExecucao="Global","",ORÇAMENTO!T68)</f>
        <v/>
      </c>
      <c r="H68" s="152" t="str">
        <f ca="1">IF(RegimeExecucao="Global","",ORÇAMENTO!W68)</f>
        <v/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>
        <f ca="1">ORÇAMENTO!C69</f>
        <v>2</v>
      </c>
      <c r="B69">
        <f ca="1">ORÇAMENTO!D69</f>
        <v>5</v>
      </c>
      <c r="C69" s="144" t="str">
        <f t="shared" ca="1" si="1"/>
        <v>F</v>
      </c>
      <c r="D69" s="147" t="str">
        <f ca="1">ORÇAMENTO!O69</f>
        <v>1.6.</v>
      </c>
      <c r="E69" s="207" t="str">
        <f t="shared" ca="1" si="2"/>
        <v>REVESTIMENTOS DE PAREDES</v>
      </c>
      <c r="F69" s="208" t="str">
        <f t="shared" ca="1" si="3"/>
        <v/>
      </c>
      <c r="G69" s="152" t="str">
        <f ca="1">IF(RegimeExecucao="Global","",ORÇAMENTO!T69)</f>
        <v/>
      </c>
      <c r="H69" s="152" t="str">
        <f ca="1">IF(RegimeExecucao="Global","",ORÇAMENTO!W69)</f>
        <v/>
      </c>
      <c r="I69" s="155">
        <f ca="1">ORÇAMENTO!X69</f>
        <v>17896.150000000001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ht="5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>F</v>
      </c>
      <c r="D70" s="147" t="str">
        <f ca="1">ORÇAMENTO!O70</f>
        <v>1.6.1.</v>
      </c>
      <c r="E70" s="207" t="str">
        <f t="shared" ca="1" si="2"/>
        <v>REVESTIMENTO CERÂMICO PARA PAREDES INTERNAS COM PLACAS TIPO ESMALTADA EXTRA DE DIMENSÕES 20X20 CM APLICADAS EM AMBIENTES DE ÁREA MAIOR QUE 5 M² NA ALTURA INTEIRA DAS PAREDES. AF_06/2014</v>
      </c>
      <c r="F70" s="208" t="str">
        <f t="shared" ca="1" si="3"/>
        <v/>
      </c>
      <c r="G70" s="152" t="str">
        <f ca="1">IF(RegimeExecucao="Global","",ORÇAMENTO!T70)</f>
        <v/>
      </c>
      <c r="H70" s="152" t="str">
        <f ca="1">IF(RegimeExecucao="Global","",ORÇAMENTO!W70)</f>
        <v/>
      </c>
      <c r="I70" s="155">
        <f ca="1">ORÇAMENTO!X70</f>
        <v>2866.42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ht="25.5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>F</v>
      </c>
      <c r="D71" s="147" t="str">
        <f ca="1">ORÇAMENTO!O71</f>
        <v>1.6.2.</v>
      </c>
      <c r="E71" s="207" t="str">
        <f t="shared" ca="1" si="2"/>
        <v>APLICAÇÃO MANUAL DE MASSA ACRÍLICA EM PAREDES EXTERNAS DE CASAS, UMA DEMÃO. AF_05/2017</v>
      </c>
      <c r="F71" s="208" t="str">
        <f t="shared" ca="1" si="3"/>
        <v/>
      </c>
      <c r="G71" s="152" t="str">
        <f ca="1">IF(RegimeExecucao="Global","",ORÇAMENTO!T71)</f>
        <v/>
      </c>
      <c r="H71" s="152" t="str">
        <f ca="1">IF(RegimeExecucao="Global","",ORÇAMENTO!W71)</f>
        <v/>
      </c>
      <c r="I71" s="155">
        <f ca="1">ORÇAMENTO!X71</f>
        <v>9074.6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ht="25.5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>F</v>
      </c>
      <c r="D72" s="147" t="str">
        <f ca="1">ORÇAMENTO!O72</f>
        <v>1.6.3.</v>
      </c>
      <c r="E72" s="207" t="str">
        <f t="shared" ca="1" si="2"/>
        <v>APLICAÇÃO MANUAL DE PINTURA COM TINTA LÁTEX PVA EM PAREDES, DUAS DEMÃOS. AF_06/2014</v>
      </c>
      <c r="F72" s="208" t="str">
        <f t="shared" ca="1" si="3"/>
        <v/>
      </c>
      <c r="G72" s="152" t="str">
        <f ca="1">IF(RegimeExecucao="Global","",ORÇAMENTO!T72)</f>
        <v/>
      </c>
      <c r="H72" s="152" t="str">
        <f ca="1">IF(RegimeExecucao="Global","",ORÇAMENTO!W72)</f>
        <v/>
      </c>
      <c r="I72" s="155">
        <f ca="1">ORÇAMENTO!X72</f>
        <v>3035.43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ht="25.5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>F</v>
      </c>
      <c r="D73" s="147" t="str">
        <f ca="1">ORÇAMENTO!O73</f>
        <v>1.6.4.</v>
      </c>
      <c r="E73" s="207" t="str">
        <f t="shared" ca="1" si="2"/>
        <v>APLICAÇÃO MANUAL DE PINTURA COM TINTA LÁTEX ACRÍLICA EM PAREDES, DUAS DEMÃOS. AF_06/2014</v>
      </c>
      <c r="F73" s="208" t="str">
        <f t="shared" ca="1" si="3"/>
        <v/>
      </c>
      <c r="G73" s="152" t="str">
        <f ca="1">IF(RegimeExecucao="Global","",ORÇAMENTO!T73)</f>
        <v/>
      </c>
      <c r="H73" s="152" t="str">
        <f ca="1">IF(RegimeExecucao="Global","",ORÇAMENTO!W73)</f>
        <v/>
      </c>
      <c r="I73" s="155">
        <f ca="1">ORÇAMENTO!X73</f>
        <v>2919.7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>
        <f ca="1">ORÇAMENTO!C74</f>
        <v>2</v>
      </c>
      <c r="B74">
        <f ca="1">ORÇAMENTO!D74</f>
        <v>11</v>
      </c>
      <c r="C74" s="144" t="str">
        <f t="shared" ca="1" si="1"/>
        <v>F</v>
      </c>
      <c r="D74" s="147" t="str">
        <f ca="1">ORÇAMENTO!O74</f>
        <v>1.7.</v>
      </c>
      <c r="E74" s="207" t="str">
        <f t="shared" ca="1" si="2"/>
        <v>ELETRICA</v>
      </c>
      <c r="F74" s="208" t="str">
        <f t="shared" ca="1" si="3"/>
        <v/>
      </c>
      <c r="G74" s="152" t="str">
        <f ca="1">IF(RegimeExecucao="Global","",ORÇAMENTO!T74)</f>
        <v/>
      </c>
      <c r="H74" s="152" t="str">
        <f ca="1">IF(RegimeExecucao="Global","",ORÇAMENTO!W74)</f>
        <v/>
      </c>
      <c r="I74" s="155">
        <f ca="1">ORÇAMENTO!X74</f>
        <v>5367.57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ht="38.25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>F</v>
      </c>
      <c r="D75" s="147" t="str">
        <f ca="1">ORÇAMENTO!O75</f>
        <v>1.7.1.</v>
      </c>
      <c r="E75" s="207" t="str">
        <f t="shared" ca="1" si="2"/>
        <v>CABO DE COBRE FLEXÍVEL ISOLADO, 10 MM², ANTI-CHAMA 450/750 V, PARA DISTRIBUIÇÃO - FORNECIMENTO E INSTALAÇÃO. AF_12/2015</v>
      </c>
      <c r="F75" s="208" t="str">
        <f t="shared" ca="1" si="3"/>
        <v/>
      </c>
      <c r="G75" s="152" t="str">
        <f ca="1">IF(RegimeExecucao="Global","",ORÇAMENTO!T75)</f>
        <v/>
      </c>
      <c r="H75" s="152" t="str">
        <f ca="1">IF(RegimeExecucao="Global","",ORÇAMENTO!W75)</f>
        <v/>
      </c>
      <c r="I75" s="155">
        <f ca="1">ORÇAMENTO!X75</f>
        <v>426.6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ht="38.25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>F</v>
      </c>
      <c r="D76" s="147" t="str">
        <f ca="1">ORÇAMENTO!O76</f>
        <v>1.7.2.</v>
      </c>
      <c r="E76" s="207" t="str">
        <f t="shared" ca="1" si="2"/>
        <v>QUADRO DE DISTRIBUICAO COM BARRAMENTO TRIFASICO, DE EMBUTIR, EM CHAPA DE ACO GALVANIZADO, PARA 12 DISJUNTORES DIN, 100 A</v>
      </c>
      <c r="F76" s="208" t="str">
        <f t="shared" ca="1" si="3"/>
        <v/>
      </c>
      <c r="G76" s="152" t="str">
        <f ca="1">IF(RegimeExecucao="Global","",ORÇAMENTO!T76)</f>
        <v/>
      </c>
      <c r="H76" s="152" t="str">
        <f ca="1">IF(RegimeExecucao="Global","",ORÇAMENTO!W76)</f>
        <v/>
      </c>
      <c r="I76" s="155">
        <f ca="1">ORÇAMENTO!X76</f>
        <v>282.87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ht="25.5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>F</v>
      </c>
      <c r="D77" s="147" t="str">
        <f ca="1">ORÇAMENTO!O77</f>
        <v>1.7.3.</v>
      </c>
      <c r="E77" s="207" t="str">
        <f t="shared" ca="1" si="2"/>
        <v>ELETRODUTO FLEXIVEL PLANO EM PEAD, COR PRETA E LARANJA, DIAMETRO 25 MM</v>
      </c>
      <c r="F77" s="208" t="str">
        <f t="shared" ca="1" si="3"/>
        <v/>
      </c>
      <c r="G77" s="152" t="str">
        <f ca="1">IF(RegimeExecucao="Global","",ORÇAMENTO!T77)</f>
        <v/>
      </c>
      <c r="H77" s="152" t="str">
        <f ca="1">IF(RegimeExecucao="Global","",ORÇAMENTO!W77)</f>
        <v/>
      </c>
      <c r="I77" s="155">
        <f ca="1">ORÇAMENTO!X77</f>
        <v>360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ht="25.5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>F</v>
      </c>
      <c r="D78" s="147" t="str">
        <f ca="1">ORÇAMENTO!O78</f>
        <v>1.7.4.</v>
      </c>
      <c r="E78" s="207" t="str">
        <f t="shared" ca="1" si="2"/>
        <v>CHUVEIRO ELÉTRICO COMUM CORPO PLÁSTICO, TIPO DUCHA  FORNECIMENTO E INSTALAÇÃO. AF_01/2020</v>
      </c>
      <c r="F78" s="208" t="str">
        <f t="shared" ca="1" si="3"/>
        <v/>
      </c>
      <c r="G78" s="152" t="str">
        <f ca="1">IF(RegimeExecucao="Global","",ORÇAMENTO!T78)</f>
        <v/>
      </c>
      <c r="H78" s="152" t="str">
        <f ca="1">IF(RegimeExecucao="Global","",ORÇAMENTO!W78)</f>
        <v/>
      </c>
      <c r="I78" s="155">
        <f ca="1">ORÇAMENTO!X78</f>
        <v>275.16000000000003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ht="38.25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>F</v>
      </c>
      <c r="D79" s="147" t="str">
        <f ca="1">ORÇAMENTO!O79</f>
        <v>1.7.5.</v>
      </c>
      <c r="E79" s="207" t="str">
        <f t="shared" ca="1" si="2"/>
        <v>CABO DE COBRE FLEXÍVEL ISOLADO, 2,5 MM², ANTI-CHAMA 450/750 V, PARA CIRCUITOS TERMINAIS - FORNECIMENTO E INSTALAÇÃO. AF_12/2015</v>
      </c>
      <c r="F79" s="208" t="str">
        <f t="shared" ca="1" si="3"/>
        <v/>
      </c>
      <c r="G79" s="152" t="str">
        <f ca="1">IF(RegimeExecucao="Global","",ORÇAMENTO!T79)</f>
        <v/>
      </c>
      <c r="H79" s="152" t="str">
        <f ca="1">IF(RegimeExecucao="Global","",ORÇAMENTO!W79)</f>
        <v/>
      </c>
      <c r="I79" s="155">
        <f ca="1">ORÇAMENTO!X79</f>
        <v>1527.5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ht="38.25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>F</v>
      </c>
      <c r="D80" s="147" t="str">
        <f ca="1">ORÇAMENTO!O80</f>
        <v>1.7.6.</v>
      </c>
      <c r="E80" s="207" t="str">
        <f t="shared" ref="E80:E143" ca="1" si="13">ORÇAMENTO.Descricao</f>
        <v>CABO DE COBRE FLEXÍVEL ISOLADO, 6 MM², ANTI-CHAMA 0,6/1,0 KV, PARA CIRCUITOS TERMINAIS - FORNECIMENTO E INSTALAÇÃO. AF_12/2015</v>
      </c>
      <c r="F80" s="208" t="str">
        <f t="shared" ref="F80:F143" ca="1" si="14">IF(RegimeExecucao="Global","",ORÇAMENTO.Unidade)</f>
        <v/>
      </c>
      <c r="G80" s="152" t="str">
        <f ca="1">IF(RegimeExecucao="Global","",ORÇAMENTO!T80)</f>
        <v/>
      </c>
      <c r="H80" s="152" t="str">
        <f ca="1">IF(RegimeExecucao="Global","",ORÇAMENTO!W80)</f>
        <v/>
      </c>
      <c r="I80" s="155">
        <f ca="1">ORÇAMENTO!X80</f>
        <v>944.4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ht="38.25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>F</v>
      </c>
      <c r="D81" s="147" t="str">
        <f ca="1">ORÇAMENTO!O81</f>
        <v>1.7.7.</v>
      </c>
      <c r="E81" s="207" t="str">
        <f t="shared" ca="1" si="13"/>
        <v>INTERRUPTOR SIMPLES (2 MÓDULOS) COM 1 TOMADA DE EMBUTIR 2P+T 10 A,  INCLUINDO SUPORTE E PLACA - FORNECIMENTO E INSTALAÇÃO. AF_12/2015</v>
      </c>
      <c r="F81" s="208" t="str">
        <f t="shared" ca="1" si="14"/>
        <v/>
      </c>
      <c r="G81" s="152" t="str">
        <f ca="1">IF(RegimeExecucao="Global","",ORÇAMENTO!T81)</f>
        <v/>
      </c>
      <c r="H81" s="152" t="str">
        <f ca="1">IF(RegimeExecucao="Global","",ORÇAMENTO!W81)</f>
        <v/>
      </c>
      <c r="I81" s="155">
        <f ca="1">ORÇAMENTO!X81</f>
        <v>477.26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ht="25.5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>F</v>
      </c>
      <c r="D82" s="147" t="str">
        <f ca="1">ORÇAMENTO!O82</f>
        <v>1.7.8.</v>
      </c>
      <c r="E82" s="207" t="str">
        <f t="shared" ca="1" si="13"/>
        <v>TOMADA MÉDIA DE EMBUTIR (1 MÓDULO), 2P+T 10 A, INCLUINDO SUPORTE E PLACA - FORNECIMENTO E INSTALAÇÃO. AF_12/2015</v>
      </c>
      <c r="F82" s="208" t="str">
        <f t="shared" ca="1" si="14"/>
        <v/>
      </c>
      <c r="G82" s="152" t="str">
        <f ca="1">IF(RegimeExecucao="Global","",ORÇAMENTO!T82)</f>
        <v/>
      </c>
      <c r="H82" s="152" t="str">
        <f ca="1">IF(RegimeExecucao="Global","",ORÇAMENTO!W82)</f>
        <v/>
      </c>
      <c r="I82" s="155">
        <f ca="1">ORÇAMENTO!X82</f>
        <v>344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ht="25.5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>F</v>
      </c>
      <c r="D83" s="147" t="str">
        <f ca="1">ORÇAMENTO!O83</f>
        <v>1.7.9.</v>
      </c>
      <c r="E83" s="207" t="str">
        <f t="shared" ca="1" si="13"/>
        <v>TOMADA ALTA DE EMBUTIR (1 MÓDULO), 2P+T 20 A, INCLUINDO SUPORTE E PLACA - FORNECIMENTO E INSTALAÇÃO. AF_12/2015</v>
      </c>
      <c r="F83" s="208" t="str">
        <f t="shared" ca="1" si="14"/>
        <v/>
      </c>
      <c r="G83" s="152" t="str">
        <f ca="1">IF(RegimeExecucao="Global","",ORÇAMENTO!T83)</f>
        <v/>
      </c>
      <c r="H83" s="152" t="str">
        <f ca="1">IF(RegimeExecucao="Global","",ORÇAMENTO!W83)</f>
        <v/>
      </c>
      <c r="I83" s="155">
        <f ca="1">ORÇAMENTO!X83</f>
        <v>139.97999999999999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ht="25.5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>F</v>
      </c>
      <c r="D84" s="147" t="str">
        <f ca="1">ORÇAMENTO!O84</f>
        <v>1.7.10.</v>
      </c>
      <c r="E84" s="207" t="str">
        <f t="shared" ca="1" si="13"/>
        <v>LUMINÁRIA TIPO PLAFON, DE SOBREPOR, COM 1 LÂMPADA LED DE 12/13 W, SEM REATOR - FORNECIMENTO E INSTALAÇÃO. AF_02/2020</v>
      </c>
      <c r="F84" s="208" t="str">
        <f t="shared" ca="1" si="14"/>
        <v/>
      </c>
      <c r="G84" s="152" t="str">
        <f ca="1">IF(RegimeExecucao="Global","",ORÇAMENTO!T84)</f>
        <v/>
      </c>
      <c r="H84" s="152" t="str">
        <f ca="1">IF(RegimeExecucao="Global","",ORÇAMENTO!W84)</f>
        <v/>
      </c>
      <c r="I84" s="155">
        <f ca="1">ORÇAMENTO!X84</f>
        <v>589.79999999999995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>
        <f ca="1">ORÇAMENTO!C85</f>
        <v>2</v>
      </c>
      <c r="B85">
        <f ca="1">ORÇAMENTO!D85</f>
        <v>8</v>
      </c>
      <c r="C85" s="144" t="str">
        <f t="shared" ca="1" si="12"/>
        <v>F</v>
      </c>
      <c r="D85" s="147" t="str">
        <f ca="1">ORÇAMENTO!O85</f>
        <v>1.8.</v>
      </c>
      <c r="E85" s="207" t="str">
        <f t="shared" ca="1" si="13"/>
        <v>HIDROSANITÁRIO</v>
      </c>
      <c r="F85" s="208" t="str">
        <f t="shared" ca="1" si="14"/>
        <v/>
      </c>
      <c r="G85" s="152" t="str">
        <f ca="1">IF(RegimeExecucao="Global","",ORÇAMENTO!T85)</f>
        <v/>
      </c>
      <c r="H85" s="152" t="str">
        <f ca="1">IF(RegimeExecucao="Global","",ORÇAMENTO!W85)</f>
        <v/>
      </c>
      <c r="I85" s="155">
        <f ca="1">ORÇAMENTO!X85</f>
        <v>4795.3500000000004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ht="25.5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>F</v>
      </c>
      <c r="D86" s="147" t="str">
        <f ca="1">ORÇAMENTO!O86</f>
        <v>1.8.1.</v>
      </c>
      <c r="E86" s="207" t="str">
        <f t="shared" ca="1" si="13"/>
        <v>VASO SANITÁRIO SIFONADO COM CAIXA ACOPLADA LOUÇA BRANCA - FORNECIMENTO E INSTALAÇÃO. AF_01/2020</v>
      </c>
      <c r="F86" s="208" t="str">
        <f t="shared" ca="1" si="14"/>
        <v/>
      </c>
      <c r="G86" s="152" t="str">
        <f ca="1">IF(RegimeExecucao="Global","",ORÇAMENTO!T86)</f>
        <v/>
      </c>
      <c r="H86" s="152" t="str">
        <f ca="1">IF(RegimeExecucao="Global","",ORÇAMENTO!W86)</f>
        <v/>
      </c>
      <c r="I86" s="155">
        <f ca="1">ORÇAMENTO!X86</f>
        <v>1559.4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ht="25.5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>F</v>
      </c>
      <c r="D87" s="147" t="str">
        <f ca="1">ORÇAMENTO!O87</f>
        <v>1.8.2.</v>
      </c>
      <c r="E87" s="207" t="str">
        <f t="shared" ca="1" si="13"/>
        <v>MICTÓRIO SIFONADO LOUÇA BRANCA  PADRÃO MÉDIO  FORNECIMENTO E INSTALAÇÃO. AF_01/2020</v>
      </c>
      <c r="F87" s="208" t="str">
        <f t="shared" ca="1" si="14"/>
        <v/>
      </c>
      <c r="G87" s="152" t="str">
        <f ca="1">IF(RegimeExecucao="Global","",ORÇAMENTO!T87)</f>
        <v/>
      </c>
      <c r="H87" s="152" t="str">
        <f ca="1">IF(RegimeExecucao="Global","",ORÇAMENTO!W87)</f>
        <v/>
      </c>
      <c r="I87" s="155">
        <f ca="1">ORÇAMENTO!X87</f>
        <v>1312.54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ht="38.25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>F</v>
      </c>
      <c r="D88" s="147" t="str">
        <f ca="1">ORÇAMENTO!O88</f>
        <v>1.8.3.</v>
      </c>
      <c r="E88" s="207" t="str">
        <f t="shared" ca="1" si="13"/>
        <v>TUBO PVC, SERIE NORMAL, ESGOTO PREDIAL, DN 100 MM, FORNECIDO E INSTALADO EM RAMAL DE DESCARGA OU RAMAL DE ESGOTO SANITÁRIO. AF_12/2014</v>
      </c>
      <c r="F88" s="208" t="str">
        <f t="shared" ca="1" si="14"/>
        <v/>
      </c>
      <c r="G88" s="152" t="str">
        <f ca="1">IF(RegimeExecucao="Global","",ORÇAMENTO!T88)</f>
        <v/>
      </c>
      <c r="H88" s="152" t="str">
        <f ca="1">IF(RegimeExecucao="Global","",ORÇAMENTO!W88)</f>
        <v/>
      </c>
      <c r="I88" s="155">
        <f ca="1">ORÇAMENTO!X88</f>
        <v>1412.25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ht="25.5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>F</v>
      </c>
      <c r="D89" s="147" t="str">
        <f ca="1">ORÇAMENTO!O89</f>
        <v>1.8.4.</v>
      </c>
      <c r="E89" s="207" t="str">
        <f t="shared" ca="1" si="13"/>
        <v>TUBO, PVC, SOLDÁVEL, DN 25MM, INSTALADO EM PRUMADA DE ÁGUA - FORNECIMENTO E INSTALAÇÃO. AF_12/2014</v>
      </c>
      <c r="F89" s="208" t="str">
        <f t="shared" ca="1" si="14"/>
        <v/>
      </c>
      <c r="G89" s="152" t="str">
        <f ca="1">IF(RegimeExecucao="Global","",ORÇAMENTO!T89)</f>
        <v/>
      </c>
      <c r="H89" s="152" t="str">
        <f ca="1">IF(RegimeExecucao="Global","",ORÇAMENTO!W89)</f>
        <v/>
      </c>
      <c r="I89" s="155">
        <f ca="1">ORÇAMENTO!X89</f>
        <v>331.2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ht="25.5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>F</v>
      </c>
      <c r="D90" s="147" t="str">
        <f ca="1">ORÇAMENTO!O90</f>
        <v>1.8.5.</v>
      </c>
      <c r="E90" s="207" t="str">
        <f t="shared" ca="1" si="13"/>
        <v>RALO SIFONADO PVC REDONDO CONICO, 100 X 40 MM, COM GRELHA  BRANCA REDONDA</v>
      </c>
      <c r="F90" s="208" t="str">
        <f t="shared" ca="1" si="14"/>
        <v/>
      </c>
      <c r="G90" s="152" t="str">
        <f ca="1">IF(RegimeExecucao="Global","",ORÇAMENTO!T90)</f>
        <v/>
      </c>
      <c r="H90" s="152" t="str">
        <f ca="1">IF(RegimeExecucao="Global","",ORÇAMENTO!W90)</f>
        <v/>
      </c>
      <c r="I90" s="155">
        <f ca="1">ORÇAMENTO!X90</f>
        <v>28.56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ht="25.5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>F</v>
      </c>
      <c r="D91" s="147" t="str">
        <f ca="1">ORÇAMENTO!O91</f>
        <v>1.8.6.</v>
      </c>
      <c r="E91" s="207" t="str">
        <f t="shared" ca="1" si="13"/>
        <v>REGISTRO DE GAVETA BRUTO, LATÃO, ROSCÁVEL, 1/2", FORNECIDO E INSTALADO EM RAMAL DE ÁGUA. AF_12/2014</v>
      </c>
      <c r="F91" s="208" t="str">
        <f t="shared" ca="1" si="14"/>
        <v/>
      </c>
      <c r="G91" s="152" t="str">
        <f ca="1">IF(RegimeExecucao="Global","",ORÇAMENTO!T91)</f>
        <v/>
      </c>
      <c r="H91" s="152" t="str">
        <f ca="1">IF(RegimeExecucao="Global","",ORÇAMENTO!W91)</f>
        <v/>
      </c>
      <c r="I91" s="155">
        <f ca="1">ORÇAMENTO!X91</f>
        <v>151.4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/>
      </c>
      <c r="G92" s="152" t="str">
        <f ca="1">IF(RegimeExecucao="Global","",ORÇAMENTO!T92)</f>
        <v/>
      </c>
      <c r="H92" s="152" t="str">
        <f ca="1">IF(RegimeExecucao="Global","",ORÇAMENTO!W92)</f>
        <v/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>
        <f ca="1">ORÇAMENTO!C93</f>
        <v>2</v>
      </c>
      <c r="B93">
        <f ca="1">ORÇAMENTO!D93</f>
        <v>8</v>
      </c>
      <c r="C93" s="144" t="str">
        <f t="shared" ca="1" si="12"/>
        <v>F</v>
      </c>
      <c r="D93" s="147" t="str">
        <f ca="1">ORÇAMENTO!O93</f>
        <v>1.9.</v>
      </c>
      <c r="E93" s="207" t="str">
        <f t="shared" ca="1" si="13"/>
        <v>EQUIPAMENTOS</v>
      </c>
      <c r="F93" s="208" t="str">
        <f t="shared" ca="1" si="14"/>
        <v/>
      </c>
      <c r="G93" s="152" t="str">
        <f ca="1">IF(RegimeExecucao="Global","",ORÇAMENTO!T93)</f>
        <v/>
      </c>
      <c r="H93" s="152" t="str">
        <f ca="1">IF(RegimeExecucao="Global","",ORÇAMENTO!W93)</f>
        <v/>
      </c>
      <c r="I93" s="155">
        <f ca="1">ORÇAMENTO!X93</f>
        <v>8625.89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ht="38.25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>F</v>
      </c>
      <c r="D94" s="147" t="str">
        <f ca="1">ORÇAMENTO!O94</f>
        <v>1.9.1.</v>
      </c>
      <c r="E94" s="207" t="str">
        <f t="shared" ca="1" si="13"/>
        <v>DIVISORIA EM GRANITO, COM DUAS FACES POLIDAS, TIPO ANDORINHA/ QUARTZ/ CASTELO/ CORUMBA OU OUTROS EQUIVALENTES DA REGIAO, E=  *3,0* CM</v>
      </c>
      <c r="F94" s="208" t="str">
        <f t="shared" ca="1" si="14"/>
        <v/>
      </c>
      <c r="G94" s="152" t="str">
        <f ca="1">IF(RegimeExecucao="Global","",ORÇAMENTO!T94)</f>
        <v/>
      </c>
      <c r="H94" s="152" t="str">
        <f ca="1">IF(RegimeExecucao="Global","",ORÇAMENTO!W94)</f>
        <v/>
      </c>
      <c r="I94" s="155">
        <f ca="1">ORÇAMENTO!X94</f>
        <v>4604.6000000000004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ht="25.5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>F</v>
      </c>
      <c r="D95" s="147" t="str">
        <f ca="1">ORÇAMENTO!O95</f>
        <v>1.9.2.</v>
      </c>
      <c r="E95" s="207" t="str">
        <f t="shared" ca="1" si="13"/>
        <v>BANCADA DE MÁRMORE BRANCO POLIDO, DE 1,50 X 0,60 M, PARA PIA DE COZINHA - FORNECIMENTO E INSTALAÇÃO. AF_01/2020</v>
      </c>
      <c r="F95" s="208" t="str">
        <f t="shared" ca="1" si="14"/>
        <v/>
      </c>
      <c r="G95" s="152" t="str">
        <f ca="1">IF(RegimeExecucao="Global","",ORÇAMENTO!T95)</f>
        <v/>
      </c>
      <c r="H95" s="152" t="str">
        <f ca="1">IF(RegimeExecucao="Global","",ORÇAMENTO!W95)</f>
        <v/>
      </c>
      <c r="I95" s="155">
        <f ca="1">ORÇAMENTO!X95</f>
        <v>485.94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ht="25.5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>F</v>
      </c>
      <c r="D96" s="147" t="str">
        <f ca="1">ORÇAMENTO!O96</f>
        <v>1.9.3.</v>
      </c>
      <c r="E96" s="207" t="str">
        <f t="shared" ca="1" si="13"/>
        <v>TANQUE DE LOUÇA BRANCA SUSPENSO, 18L OU EQUIVALENTE - FORNECIMENTO E INSTALAÇÃO. AF_01/2020</v>
      </c>
      <c r="F96" s="208" t="str">
        <f t="shared" ca="1" si="14"/>
        <v/>
      </c>
      <c r="G96" s="152" t="str">
        <f ca="1">IF(RegimeExecucao="Global","",ORÇAMENTO!T96)</f>
        <v/>
      </c>
      <c r="H96" s="152" t="str">
        <f ca="1">IF(RegimeExecucao="Global","",ORÇAMENTO!W96)</f>
        <v/>
      </c>
      <c r="I96" s="155">
        <f ca="1">ORÇAMENTO!X96</f>
        <v>537.1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ht="63.75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>F</v>
      </c>
      <c r="D97" s="147" t="str">
        <f ca="1">ORÇAMENTO!O97</f>
        <v>1.9.4.</v>
      </c>
      <c r="E97" s="207" t="str">
        <f t="shared" ca="1" si="13"/>
        <v>BANCADA DE MÁRMORE SINTÉTICO 120 X 60CM, COM CUBA INTEGRADA, INCLUSO SIFÃO TIPO FLEXÍVEL EM PVC, VÁLVULA EM PLÁSTICO CROMADO TIPO AMERICANA E TORNEIRA CROMADA LONGA, DE PAREDE, PADRÃO POPULAR - FORNECIMENTO E INSTALAÇÃO. AF_01/2020</v>
      </c>
      <c r="F97" s="208" t="str">
        <f t="shared" ca="1" si="14"/>
        <v/>
      </c>
      <c r="G97" s="152" t="str">
        <f ca="1">IF(RegimeExecucao="Global","",ORÇAMENTO!T97)</f>
        <v/>
      </c>
      <c r="H97" s="152" t="str">
        <f ca="1">IF(RegimeExecucao="Global","",ORÇAMENTO!W97)</f>
        <v/>
      </c>
      <c r="I97" s="155">
        <f ca="1">ORÇAMENTO!X97</f>
        <v>683.7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ht="63.75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>F</v>
      </c>
      <c r="D98" s="147" t="str">
        <f ca="1">ORÇAMENTO!O98</f>
        <v>1.9.5.</v>
      </c>
      <c r="E98" s="207" t="str">
        <f t="shared" ca="1" si="13"/>
        <v>GUARDA-CORPO DE AÇO GALVANIZADO DE 1,10M DE ALTURA, MONTANTES TUBULARES DE 1.1/2 ESPAÇADOS DE 1,20M, TRAVESSA SUPERIOR DE 2, GRADIL FORMADO POR BARRAS CHATAS EM FERRO DE 32X4,8MM, FIXADO COM CHUMBADOR MECÂNICO. AF_04/2019_P</v>
      </c>
      <c r="F98" s="208" t="str">
        <f t="shared" ca="1" si="14"/>
        <v/>
      </c>
      <c r="G98" s="152" t="str">
        <f ca="1">IF(RegimeExecucao="Global","",ORÇAMENTO!T98)</f>
        <v/>
      </c>
      <c r="H98" s="152" t="str">
        <f ca="1">IF(RegimeExecucao="Global","",ORÇAMENTO!W98)</f>
        <v/>
      </c>
      <c r="I98" s="155">
        <f ca="1">ORÇAMENTO!X98</f>
        <v>2314.5500000000002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/>
      </c>
      <c r="G99" s="152" t="str">
        <f ca="1">IF(RegimeExecucao="Global","",ORÇAMENTO!T99)</f>
        <v/>
      </c>
      <c r="H99" s="152" t="str">
        <f ca="1">IF(RegimeExecucao="Global","",ORÇAMENTO!W99)</f>
        <v/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/>
      </c>
      <c r="G100" s="152" t="str">
        <f ca="1">IF(RegimeExecucao="Global","",ORÇAMENTO!T100)</f>
        <v/>
      </c>
      <c r="H100" s="152" t="str">
        <f ca="1">IF(RegimeExecucao="Global","",ORÇAMENTO!W100)</f>
        <v/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>
        <f ca="1">ORÇAMENTO!C101</f>
        <v>2</v>
      </c>
      <c r="B101">
        <f ca="1">ORÇAMENTO!D101</f>
        <v>17</v>
      </c>
      <c r="C101" s="144" t="str">
        <f t="shared" ca="1" si="12"/>
        <v>F</v>
      </c>
      <c r="D101" s="147" t="str">
        <f ca="1">ORÇAMENTO!O101</f>
        <v>1.10.</v>
      </c>
      <c r="E101" s="207" t="str">
        <f t="shared" ca="1" si="13"/>
        <v>ESQUADRIAS</v>
      </c>
      <c r="F101" s="208" t="str">
        <f t="shared" ca="1" si="14"/>
        <v/>
      </c>
      <c r="G101" s="152" t="str">
        <f ca="1">IF(RegimeExecucao="Global","",ORÇAMENTO!T101)</f>
        <v/>
      </c>
      <c r="H101" s="152" t="str">
        <f ca="1">IF(RegimeExecucao="Global","",ORÇAMENTO!W101)</f>
        <v/>
      </c>
      <c r="I101" s="155">
        <f ca="1">ORÇAMENTO!X101</f>
        <v>14885.75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ht="63.75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>F</v>
      </c>
      <c r="D102" s="147" t="str">
        <f ca="1">ORÇAMENTO!O102</f>
        <v>1.10.1.</v>
      </c>
      <c r="E102" s="207" t="str">
        <f t="shared" ca="1" si="13"/>
        <v>KIT DE PORTA DE MADEIRA FRISADA, SEMI-OCA (LEVE OU MÉDIA), PADRÃO MÉDIO, 80X210CM, ESPESSURA DE 3,5CM, ITENS INCLUSOS: DOBRADIÇAS, MONTAGEM E INSTALAÇÃO DE BATENTE, FECHADURA COM EXECUÇÃO DO FURO - FORNECIMENTO E INSTALAÇÃO. AF_12/2019</v>
      </c>
      <c r="F102" s="208" t="str">
        <f t="shared" ca="1" si="14"/>
        <v/>
      </c>
      <c r="G102" s="152" t="str">
        <f ca="1">IF(RegimeExecucao="Global","",ORÇAMENTO!T102)</f>
        <v/>
      </c>
      <c r="H102" s="152" t="str">
        <f ca="1">IF(RegimeExecucao="Global","",ORÇAMENTO!W102)</f>
        <v/>
      </c>
      <c r="I102" s="155">
        <f ca="1">ORÇAMENTO!X102</f>
        <v>6231.05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ht="5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>F</v>
      </c>
      <c r="D103" s="147" t="str">
        <f ca="1">ORÇAMENTO!O103</f>
        <v>1.10.2.</v>
      </c>
      <c r="E103" s="207" t="str">
        <f t="shared" ca="1" si="13"/>
        <v>JANELA DE ALUMÍNIO DE CORRER COM 2 FOLHAS PARA VIDROS, COM VIDROS, BATENTE, ACABAMENTO COM ACETATO OU BRILHANTE E FERRAGENS. EXCLUSIVE ALIZAR E CONTRAMARCO. FORNECIMENTO E INSTALAÇÃO. AF_12/2019</v>
      </c>
      <c r="F103" s="208" t="str">
        <f t="shared" ca="1" si="14"/>
        <v/>
      </c>
      <c r="G103" s="152" t="str">
        <f ca="1">IF(RegimeExecucao="Global","",ORÇAMENTO!T103)</f>
        <v/>
      </c>
      <c r="H103" s="152" t="str">
        <f ca="1">IF(RegimeExecucao="Global","",ORÇAMENTO!W103)</f>
        <v/>
      </c>
      <c r="I103" s="155">
        <f ca="1">ORÇAMENTO!X103</f>
        <v>3847.85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ht="38.25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>F</v>
      </c>
      <c r="D104" s="147" t="str">
        <f ca="1">ORÇAMENTO!O104</f>
        <v>1.10.3.</v>
      </c>
      <c r="E104" s="207" t="str">
        <f t="shared" ca="1" si="13"/>
        <v>PORTAO DE CORRER EM GRADIL FIXO DE BARRA DE FERRO CHATA DE 3 X 1/4" NA VERTICAL, SEM REQUADRO, ACABAMENTO NATURAL, COM TRILHOS E ROLDANAS</v>
      </c>
      <c r="F104" s="208" t="str">
        <f t="shared" ca="1" si="14"/>
        <v/>
      </c>
      <c r="G104" s="152" t="str">
        <f ca="1">IF(RegimeExecucao="Global","",ORÇAMENTO!T104)</f>
        <v/>
      </c>
      <c r="H104" s="152" t="str">
        <f ca="1">IF(RegimeExecucao="Global","",ORÇAMENTO!W104)</f>
        <v/>
      </c>
      <c r="I104" s="155">
        <f ca="1">ORÇAMENTO!X104</f>
        <v>1356.3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ht="38.25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>F</v>
      </c>
      <c r="D105" s="147" t="str">
        <f ca="1">ORÇAMENTO!O105</f>
        <v>1.10.4.</v>
      </c>
      <c r="E105" s="207" t="str">
        <f t="shared" ca="1" si="13"/>
        <v>PORTA EM ALUMÍNIO DE ABRIR TIPO VENEZIANA COM GUARNIÇÃO, FIXAÇÃO COM PARAFUSOS - FORNECIMENTO E INSTALAÇÃO. AF_12/2019</v>
      </c>
      <c r="F105" s="208" t="str">
        <f t="shared" ca="1" si="14"/>
        <v/>
      </c>
      <c r="G105" s="152" t="str">
        <f ca="1">IF(RegimeExecucao="Global","",ORÇAMENTO!T105)</f>
        <v/>
      </c>
      <c r="H105" s="152" t="str">
        <f ca="1">IF(RegimeExecucao="Global","",ORÇAMENTO!W105)</f>
        <v/>
      </c>
      <c r="I105" s="155">
        <f ca="1">ORÇAMENTO!X105</f>
        <v>3450.55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/>
      </c>
      <c r="G106" s="152" t="str">
        <f ca="1">IF(RegimeExecucao="Global","",ORÇAMENTO!T106)</f>
        <v/>
      </c>
      <c r="H106" s="152" t="str">
        <f ca="1">IF(RegimeExecucao="Global","",ORÇAMENTO!W106)</f>
        <v/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/>
      </c>
      <c r="G107" s="152" t="str">
        <f ca="1">IF(RegimeExecucao="Global","",ORÇAMENTO!T107)</f>
        <v/>
      </c>
      <c r="H107" s="152" t="str">
        <f ca="1">IF(RegimeExecucao="Global","",ORÇAMENTO!W107)</f>
        <v/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/>
      </c>
      <c r="G108" s="152" t="str">
        <f ca="1">IF(RegimeExecucao="Global","",ORÇAMENTO!T108)</f>
        <v/>
      </c>
      <c r="H108" s="152" t="str">
        <f ca="1">IF(RegimeExecucao="Global","",ORÇAMENTO!W108)</f>
        <v/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/>
      </c>
      <c r="G109" s="152" t="str">
        <f ca="1">IF(RegimeExecucao="Global","",ORÇAMENTO!T109)</f>
        <v/>
      </c>
      <c r="H109" s="152" t="str">
        <f ca="1">IF(RegimeExecucao="Global","",ORÇAMENTO!W109)</f>
        <v/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/>
      </c>
      <c r="G110" s="152" t="str">
        <f ca="1">IF(RegimeExecucao="Global","",ORÇAMENTO!T110)</f>
        <v/>
      </c>
      <c r="H110" s="152" t="str">
        <f ca="1">IF(RegimeExecucao="Global","",ORÇAMENTO!W110)</f>
        <v/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/>
      </c>
      <c r="G111" s="152" t="str">
        <f ca="1">IF(RegimeExecucao="Global","",ORÇAMENTO!T111)</f>
        <v/>
      </c>
      <c r="H111" s="152" t="str">
        <f ca="1">IF(RegimeExecucao="Global","",ORÇAMENTO!W111)</f>
        <v/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/>
      </c>
      <c r="G112" s="152" t="str">
        <f ca="1">IF(RegimeExecucao="Global","",ORÇAMENTO!T112)</f>
        <v/>
      </c>
      <c r="H112" s="152" t="str">
        <f ca="1">IF(RegimeExecucao="Global","",ORÇAMENTO!W112)</f>
        <v/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/>
      </c>
      <c r="G113" s="152" t="str">
        <f ca="1">IF(RegimeExecucao="Global","",ORÇAMENTO!T113)</f>
        <v/>
      </c>
      <c r="H113" s="152" t="str">
        <f ca="1">IF(RegimeExecucao="Global","",ORÇAMENTO!W113)</f>
        <v/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/>
      </c>
      <c r="G114" s="152" t="str">
        <f ca="1">IF(RegimeExecucao="Global","",ORÇAMENTO!T114)</f>
        <v/>
      </c>
      <c r="H114" s="152" t="str">
        <f ca="1">IF(RegimeExecucao="Global","",ORÇAMENTO!W114)</f>
        <v/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/>
      </c>
      <c r="G115" s="152" t="str">
        <f ca="1">IF(RegimeExecucao="Global","",ORÇAMENTO!T115)</f>
        <v/>
      </c>
      <c r="H115" s="152" t="str">
        <f ca="1">IF(RegimeExecucao="Global","",ORÇAMENTO!W115)</f>
        <v/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/>
      </c>
      <c r="G116" s="152" t="str">
        <f ca="1">IF(RegimeExecucao="Global","",ORÇAMENTO!T116)</f>
        <v/>
      </c>
      <c r="H116" s="152" t="str">
        <f ca="1">IF(RegimeExecucao="Global","",ORÇAMENTO!W116)</f>
        <v/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/>
      </c>
      <c r="G117" s="152" t="str">
        <f ca="1">IF(RegimeExecucao="Global","",ORÇAMENTO!T117)</f>
        <v/>
      </c>
      <c r="H117" s="152" t="str">
        <f ca="1">IF(RegimeExecucao="Global","",ORÇAMENTO!W117)</f>
        <v/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>
        <f ca="1">ORÇAMENTO!C118</f>
        <v>2</v>
      </c>
      <c r="B118">
        <f ca="1">ORÇAMENTO!D118</f>
        <v>148</v>
      </c>
      <c r="C118" s="144" t="str">
        <f t="shared" ca="1" si="12"/>
        <v>F</v>
      </c>
      <c r="D118" s="147" t="str">
        <f ca="1">ORÇAMENTO!O118</f>
        <v>1.11.</v>
      </c>
      <c r="E118" s="207" t="str">
        <f t="shared" ca="1" si="13"/>
        <v>SERVIÇOS FINAIS</v>
      </c>
      <c r="F118" s="208" t="str">
        <f t="shared" ca="1" si="14"/>
        <v/>
      </c>
      <c r="G118" s="152" t="str">
        <f ca="1">IF(RegimeExecucao="Global","",ORÇAMENTO!T118)</f>
        <v/>
      </c>
      <c r="H118" s="152" t="str">
        <f ca="1">IF(RegimeExecucao="Global","",ORÇAMENTO!W118)</f>
        <v/>
      </c>
      <c r="I118" s="155">
        <f ca="1">ORÇAMENTO!X118</f>
        <v>210.1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>F</v>
      </c>
      <c r="D119" s="147" t="str">
        <f ca="1">ORÇAMENTO!O119</f>
        <v>1.11.1.</v>
      </c>
      <c r="E119" s="207" t="str">
        <f t="shared" ca="1" si="13"/>
        <v>LIMPEZA FINAL DE OBRA</v>
      </c>
      <c r="F119" s="208" t="str">
        <f t="shared" ca="1" si="14"/>
        <v/>
      </c>
      <c r="G119" s="152" t="str">
        <f ca="1">IF(RegimeExecucao="Global","",ORÇAMENTO!T119)</f>
        <v/>
      </c>
      <c r="H119" s="152" t="str">
        <f ca="1">IF(RegimeExecucao="Global","",ORÇAMENTO!W119)</f>
        <v/>
      </c>
      <c r="I119" s="155">
        <f ca="1">ORÇAMENTO!X119</f>
        <v>210.1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/>
      </c>
      <c r="G120" s="152" t="str">
        <f ca="1">IF(RegimeExecucao="Global","",ORÇAMENTO!T120)</f>
        <v/>
      </c>
      <c r="H120" s="152" t="str">
        <f ca="1">IF(RegimeExecucao="Global","",ORÇAMENTO!W120)</f>
        <v/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/>
      </c>
      <c r="G121" s="152" t="str">
        <f ca="1">IF(RegimeExecucao="Global","",ORÇAMENTO!T121)</f>
        <v/>
      </c>
      <c r="H121" s="152" t="str">
        <f ca="1">IF(RegimeExecucao="Global","",ORÇAMENTO!W121)</f>
        <v/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/>
      </c>
      <c r="G122" s="152" t="str">
        <f ca="1">IF(RegimeExecucao="Global","",ORÇAMENTO!T122)</f>
        <v/>
      </c>
      <c r="H122" s="152" t="str">
        <f ca="1">IF(RegimeExecucao="Global","",ORÇAMENTO!W122)</f>
        <v/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/>
      </c>
      <c r="G123" s="152" t="str">
        <f ca="1">IF(RegimeExecucao="Global","",ORÇAMENTO!T123)</f>
        <v/>
      </c>
      <c r="H123" s="152" t="str">
        <f ca="1">IF(RegimeExecucao="Global","",ORÇAMENTO!W123)</f>
        <v/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/>
      </c>
      <c r="G124" s="152" t="str">
        <f ca="1">IF(RegimeExecucao="Global","",ORÇAMENTO!T124)</f>
        <v/>
      </c>
      <c r="H124" s="152" t="str">
        <f ca="1">IF(RegimeExecucao="Global","",ORÇAMENTO!W124)</f>
        <v/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/>
      </c>
      <c r="G125" s="152" t="str">
        <f ca="1">IF(RegimeExecucao="Global","",ORÇAMENTO!T125)</f>
        <v/>
      </c>
      <c r="H125" s="152" t="str">
        <f ca="1">IF(RegimeExecucao="Global","",ORÇAMENTO!W125)</f>
        <v/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/>
      </c>
      <c r="G126" s="152" t="str">
        <f ca="1">IF(RegimeExecucao="Global","",ORÇAMENTO!T126)</f>
        <v/>
      </c>
      <c r="H126" s="152" t="str">
        <f ca="1">IF(RegimeExecucao="Global","",ORÇAMENTO!W126)</f>
        <v/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/>
      </c>
      <c r="G127" s="152" t="str">
        <f ca="1">IF(RegimeExecucao="Global","",ORÇAMENTO!T127)</f>
        <v/>
      </c>
      <c r="H127" s="152" t="str">
        <f ca="1">IF(RegimeExecucao="Global","",ORÇAMENTO!W127)</f>
        <v/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/>
      </c>
      <c r="G128" s="152" t="str">
        <f ca="1">IF(RegimeExecucao="Global","",ORÇAMENTO!T128)</f>
        <v/>
      </c>
      <c r="H128" s="152" t="str">
        <f ca="1">IF(RegimeExecucao="Global","",ORÇAMENTO!W128)</f>
        <v/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/>
      </c>
      <c r="G129" s="152" t="str">
        <f ca="1">IF(RegimeExecucao="Global","",ORÇAMENTO!T129)</f>
        <v/>
      </c>
      <c r="H129" s="152" t="str">
        <f ca="1">IF(RegimeExecucao="Global","",ORÇAMENTO!W129)</f>
        <v/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/>
      </c>
      <c r="G130" s="152" t="str">
        <f ca="1">IF(RegimeExecucao="Global","",ORÇAMENTO!T130)</f>
        <v/>
      </c>
      <c r="H130" s="152" t="str">
        <f ca="1">IF(RegimeExecucao="Global","",ORÇAMENTO!W130)</f>
        <v/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/>
      </c>
      <c r="G131" s="152" t="str">
        <f ca="1">IF(RegimeExecucao="Global","",ORÇAMENTO!T131)</f>
        <v/>
      </c>
      <c r="H131" s="152" t="str">
        <f ca="1">IF(RegimeExecucao="Global","",ORÇAMENTO!W131)</f>
        <v/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/>
      </c>
      <c r="G132" s="152" t="str">
        <f ca="1">IF(RegimeExecucao="Global","",ORÇAMENTO!T132)</f>
        <v/>
      </c>
      <c r="H132" s="152" t="str">
        <f ca="1">IF(RegimeExecucao="Global","",ORÇAMENTO!W132)</f>
        <v/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/>
      </c>
      <c r="G133" s="152" t="str">
        <f ca="1">IF(RegimeExecucao="Global","",ORÇAMENTO!T133)</f>
        <v/>
      </c>
      <c r="H133" s="152" t="str">
        <f ca="1">IF(RegimeExecucao="Global","",ORÇAMENTO!W133)</f>
        <v/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/>
      </c>
      <c r="G134" s="152" t="str">
        <f ca="1">IF(RegimeExecucao="Global","",ORÇAMENTO!T134)</f>
        <v/>
      </c>
      <c r="H134" s="152" t="str">
        <f ca="1">IF(RegimeExecucao="Global","",ORÇAMENTO!W134)</f>
        <v/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/>
      </c>
      <c r="G135" s="152" t="str">
        <f ca="1">IF(RegimeExecucao="Global","",ORÇAMENTO!T135)</f>
        <v/>
      </c>
      <c r="H135" s="152" t="str">
        <f ca="1">IF(RegimeExecucao="Global","",ORÇAMENTO!W135)</f>
        <v/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/>
      </c>
      <c r="G136" s="152" t="str">
        <f ca="1">IF(RegimeExecucao="Global","",ORÇAMENTO!T136)</f>
        <v/>
      </c>
      <c r="H136" s="152" t="str">
        <f ca="1">IF(RegimeExecucao="Global","",ORÇAMENTO!W136)</f>
        <v/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/>
      </c>
      <c r="G137" s="152" t="str">
        <f ca="1">IF(RegimeExecucao="Global","",ORÇAMENTO!T137)</f>
        <v/>
      </c>
      <c r="H137" s="152" t="str">
        <f ca="1">IF(RegimeExecucao="Global","",ORÇAMENTO!W137)</f>
        <v/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/>
      </c>
      <c r="G138" s="152" t="str">
        <f ca="1">IF(RegimeExecucao="Global","",ORÇAMENTO!T138)</f>
        <v/>
      </c>
      <c r="H138" s="152" t="str">
        <f ca="1">IF(RegimeExecucao="Global","",ORÇAMENTO!W138)</f>
        <v/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/>
      </c>
      <c r="G139" s="152" t="str">
        <f ca="1">IF(RegimeExecucao="Global","",ORÇAMENTO!T139)</f>
        <v/>
      </c>
      <c r="H139" s="152" t="str">
        <f ca="1">IF(RegimeExecucao="Global","",ORÇAMENTO!W139)</f>
        <v/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/>
      </c>
      <c r="G140" s="152" t="str">
        <f ca="1">IF(RegimeExecucao="Global","",ORÇAMENTO!T140)</f>
        <v/>
      </c>
      <c r="H140" s="152" t="str">
        <f ca="1">IF(RegimeExecucao="Global","",ORÇAMENTO!W140)</f>
        <v/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/>
      </c>
      <c r="G141" s="152" t="str">
        <f ca="1">IF(RegimeExecucao="Global","",ORÇAMENTO!T141)</f>
        <v/>
      </c>
      <c r="H141" s="152" t="str">
        <f ca="1">IF(RegimeExecucao="Global","",ORÇAMENTO!W141)</f>
        <v/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/>
      </c>
      <c r="G142" s="152" t="str">
        <f ca="1">IF(RegimeExecucao="Global","",ORÇAMENTO!T142)</f>
        <v/>
      </c>
      <c r="H142" s="152" t="str">
        <f ca="1">IF(RegimeExecucao="Global","",ORÇAMENTO!W142)</f>
        <v/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/>
      </c>
      <c r="G143" s="152" t="str">
        <f ca="1">IF(RegimeExecucao="Global","",ORÇAMENTO!T143)</f>
        <v/>
      </c>
      <c r="H143" s="152" t="str">
        <f ca="1">IF(RegimeExecucao="Global","",ORÇAMENTO!W143)</f>
        <v/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/>
      </c>
      <c r="G144" s="152" t="str">
        <f ca="1">IF(RegimeExecucao="Global","",ORÇAMENTO!T144)</f>
        <v/>
      </c>
      <c r="H144" s="152" t="str">
        <f ca="1">IF(RegimeExecucao="Global","",ORÇAMENTO!W144)</f>
        <v/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/>
      </c>
      <c r="G145" s="152" t="str">
        <f ca="1">IF(RegimeExecucao="Global","",ORÇAMENTO!T145)</f>
        <v/>
      </c>
      <c r="H145" s="152" t="str">
        <f ca="1">IF(RegimeExecucao="Global","",ORÇAMENTO!W145)</f>
        <v/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/>
      </c>
      <c r="G146" s="152" t="str">
        <f ca="1">IF(RegimeExecucao="Global","",ORÇAMENTO!T146)</f>
        <v/>
      </c>
      <c r="H146" s="152" t="str">
        <f ca="1">IF(RegimeExecucao="Global","",ORÇAMENTO!W146)</f>
        <v/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/>
      </c>
      <c r="G147" s="152" t="str">
        <f ca="1">IF(RegimeExecucao="Global","",ORÇAMENTO!T147)</f>
        <v/>
      </c>
      <c r="H147" s="152" t="str">
        <f ca="1">IF(RegimeExecucao="Global","",ORÇAMENTO!W147)</f>
        <v/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/>
      </c>
      <c r="G148" s="152" t="str">
        <f ca="1">IF(RegimeExecucao="Global","",ORÇAMENTO!T148)</f>
        <v/>
      </c>
      <c r="H148" s="152" t="str">
        <f ca="1">IF(RegimeExecucao="Global","",ORÇAMENTO!W148)</f>
        <v/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/>
      </c>
      <c r="G149" s="152" t="str">
        <f ca="1">IF(RegimeExecucao="Global","",ORÇAMENTO!T149)</f>
        <v/>
      </c>
      <c r="H149" s="152" t="str">
        <f ca="1">IF(RegimeExecucao="Global","",ORÇAMENTO!W149)</f>
        <v/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/>
      </c>
      <c r="G150" s="152" t="str">
        <f ca="1">IF(RegimeExecucao="Global","",ORÇAMENTO!T150)</f>
        <v/>
      </c>
      <c r="H150" s="152" t="str">
        <f ca="1">IF(RegimeExecucao="Global","",ORÇAMENTO!W150)</f>
        <v/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/>
      </c>
      <c r="G151" s="152" t="str">
        <f ca="1">IF(RegimeExecucao="Global","",ORÇAMENTO!T151)</f>
        <v/>
      </c>
      <c r="H151" s="152" t="str">
        <f ca="1">IF(RegimeExecucao="Global","",ORÇAMENTO!W151)</f>
        <v/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/>
      </c>
      <c r="G152" s="152" t="str">
        <f ca="1">IF(RegimeExecucao="Global","",ORÇAMENTO!T152)</f>
        <v/>
      </c>
      <c r="H152" s="152" t="str">
        <f ca="1">IF(RegimeExecucao="Global","",ORÇAMENTO!W152)</f>
        <v/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/>
      </c>
      <c r="G153" s="152" t="str">
        <f ca="1">IF(RegimeExecucao="Global","",ORÇAMENTO!T153)</f>
        <v/>
      </c>
      <c r="H153" s="152" t="str">
        <f ca="1">IF(RegimeExecucao="Global","",ORÇAMENTO!W153)</f>
        <v/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/>
      </c>
      <c r="G154" s="152" t="str">
        <f ca="1">IF(RegimeExecucao="Global","",ORÇAMENTO!T154)</f>
        <v/>
      </c>
      <c r="H154" s="152" t="str">
        <f ca="1">IF(RegimeExecucao="Global","",ORÇAMENTO!W154)</f>
        <v/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/>
      </c>
      <c r="G155" s="152" t="str">
        <f ca="1">IF(RegimeExecucao="Global","",ORÇAMENTO!T155)</f>
        <v/>
      </c>
      <c r="H155" s="152" t="str">
        <f ca="1">IF(RegimeExecucao="Global","",ORÇAMENTO!W155)</f>
        <v/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/>
      </c>
      <c r="G156" s="152" t="str">
        <f ca="1">IF(RegimeExecucao="Global","",ORÇAMENTO!T156)</f>
        <v/>
      </c>
      <c r="H156" s="152" t="str">
        <f ca="1">IF(RegimeExecucao="Global","",ORÇAMENTO!W156)</f>
        <v/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/>
      </c>
      <c r="G157" s="152" t="str">
        <f ca="1">IF(RegimeExecucao="Global","",ORÇAMENTO!T157)</f>
        <v/>
      </c>
      <c r="H157" s="152" t="str">
        <f ca="1">IF(RegimeExecucao="Global","",ORÇAMENTO!W157)</f>
        <v/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/>
      </c>
      <c r="G158" s="152" t="str">
        <f ca="1">IF(RegimeExecucao="Global","",ORÇAMENTO!T158)</f>
        <v/>
      </c>
      <c r="H158" s="152" t="str">
        <f ca="1">IF(RegimeExecucao="Global","",ORÇAMENTO!W158)</f>
        <v/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/>
      </c>
      <c r="G159" s="152" t="str">
        <f ca="1">IF(RegimeExecucao="Global","",ORÇAMENTO!T159)</f>
        <v/>
      </c>
      <c r="H159" s="152" t="str">
        <f ca="1">IF(RegimeExecucao="Global","",ORÇAMENTO!W159)</f>
        <v/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/>
      </c>
      <c r="G160" s="152" t="str">
        <f ca="1">IF(RegimeExecucao="Global","",ORÇAMENTO!T160)</f>
        <v/>
      </c>
      <c r="H160" s="152" t="str">
        <f ca="1">IF(RegimeExecucao="Global","",ORÇAMENTO!W160)</f>
        <v/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/>
      </c>
      <c r="G161" s="152" t="str">
        <f ca="1">IF(RegimeExecucao="Global","",ORÇAMENTO!T161)</f>
        <v/>
      </c>
      <c r="H161" s="152" t="str">
        <f ca="1">IF(RegimeExecucao="Global","",ORÇAMENTO!W161)</f>
        <v/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/>
      </c>
      <c r="G162" s="152" t="str">
        <f ca="1">IF(RegimeExecucao="Global","",ORÇAMENTO!T162)</f>
        <v/>
      </c>
      <c r="H162" s="152" t="str">
        <f ca="1">IF(RegimeExecucao="Global","",ORÇAMENTO!W162)</f>
        <v/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/>
      </c>
      <c r="G163" s="152" t="str">
        <f ca="1">IF(RegimeExecucao="Global","",ORÇAMENTO!T163)</f>
        <v/>
      </c>
      <c r="H163" s="152" t="str">
        <f ca="1">IF(RegimeExecucao="Global","",ORÇAMENTO!W163)</f>
        <v/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/>
      </c>
      <c r="G164" s="152" t="str">
        <f ca="1">IF(RegimeExecucao="Global","",ORÇAMENTO!T164)</f>
        <v/>
      </c>
      <c r="H164" s="152" t="str">
        <f ca="1">IF(RegimeExecucao="Global","",ORÇAMENTO!W164)</f>
        <v/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/>
      </c>
      <c r="G165" s="152" t="str">
        <f ca="1">IF(RegimeExecucao="Global","",ORÇAMENTO!T165)</f>
        <v/>
      </c>
      <c r="H165" s="152" t="str">
        <f ca="1">IF(RegimeExecucao="Global","",ORÇAMENTO!W165)</f>
        <v/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/>
      </c>
      <c r="G166" s="152" t="str">
        <f ca="1">IF(RegimeExecucao="Global","",ORÇAMENTO!T166)</f>
        <v/>
      </c>
      <c r="H166" s="152" t="str">
        <f ca="1">IF(RegimeExecucao="Global","",ORÇAMENTO!W166)</f>
        <v/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/>
      </c>
      <c r="G167" s="152" t="str">
        <f ca="1">IF(RegimeExecucao="Global","",ORÇAMENTO!T167)</f>
        <v/>
      </c>
      <c r="H167" s="152" t="str">
        <f ca="1">IF(RegimeExecucao="Global","",ORÇAMENTO!W167)</f>
        <v/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/>
      </c>
      <c r="G168" s="152" t="str">
        <f ca="1">IF(RegimeExecucao="Global","",ORÇAMENTO!T168)</f>
        <v/>
      </c>
      <c r="H168" s="152" t="str">
        <f ca="1">IF(RegimeExecucao="Global","",ORÇAMENTO!W168)</f>
        <v/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/>
      </c>
      <c r="G169" s="152" t="str">
        <f ca="1">IF(RegimeExecucao="Global","",ORÇAMENTO!T169)</f>
        <v/>
      </c>
      <c r="H169" s="152" t="str">
        <f ca="1">IF(RegimeExecucao="Global","",ORÇAMENTO!W169)</f>
        <v/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/>
      </c>
      <c r="G170" s="152" t="str">
        <f ca="1">IF(RegimeExecucao="Global","",ORÇAMENTO!T170)</f>
        <v/>
      </c>
      <c r="H170" s="152" t="str">
        <f ca="1">IF(RegimeExecucao="Global","",ORÇAMENTO!W170)</f>
        <v/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/>
      </c>
      <c r="G171" s="152" t="str">
        <f ca="1">IF(RegimeExecucao="Global","",ORÇAMENTO!T171)</f>
        <v/>
      </c>
      <c r="H171" s="152" t="str">
        <f ca="1">IF(RegimeExecucao="Global","",ORÇAMENTO!W171)</f>
        <v/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/>
      </c>
      <c r="G172" s="152" t="str">
        <f ca="1">IF(RegimeExecucao="Global","",ORÇAMENTO!T172)</f>
        <v/>
      </c>
      <c r="H172" s="152" t="str">
        <f ca="1">IF(RegimeExecucao="Global","",ORÇAMENTO!W172)</f>
        <v/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/>
      </c>
      <c r="G173" s="152" t="str">
        <f ca="1">IF(RegimeExecucao="Global","",ORÇAMENTO!T173)</f>
        <v/>
      </c>
      <c r="H173" s="152" t="str">
        <f ca="1">IF(RegimeExecucao="Global","",ORÇAMENTO!W173)</f>
        <v/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/>
      </c>
      <c r="G174" s="152" t="str">
        <f ca="1">IF(RegimeExecucao="Global","",ORÇAMENTO!T174)</f>
        <v/>
      </c>
      <c r="H174" s="152" t="str">
        <f ca="1">IF(RegimeExecucao="Global","",ORÇAMENTO!W174)</f>
        <v/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/>
      </c>
      <c r="G175" s="152" t="str">
        <f ca="1">IF(RegimeExecucao="Global","",ORÇAMENTO!T175)</f>
        <v/>
      </c>
      <c r="H175" s="152" t="str">
        <f ca="1">IF(RegimeExecucao="Global","",ORÇAMENTO!W175)</f>
        <v/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/>
      </c>
      <c r="G176" s="152" t="str">
        <f ca="1">IF(RegimeExecucao="Global","",ORÇAMENTO!T176)</f>
        <v/>
      </c>
      <c r="H176" s="152" t="str">
        <f ca="1">IF(RegimeExecucao="Global","",ORÇAMENTO!W176)</f>
        <v/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/>
      </c>
      <c r="G177" s="152" t="str">
        <f ca="1">IF(RegimeExecucao="Global","",ORÇAMENTO!T177)</f>
        <v/>
      </c>
      <c r="H177" s="152" t="str">
        <f ca="1">IF(RegimeExecucao="Global","",ORÇAMENTO!W177)</f>
        <v/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/>
      </c>
      <c r="G178" s="152" t="str">
        <f ca="1">IF(RegimeExecucao="Global","",ORÇAMENTO!T178)</f>
        <v/>
      </c>
      <c r="H178" s="152" t="str">
        <f ca="1">IF(RegimeExecucao="Global","",ORÇAMENTO!W178)</f>
        <v/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/>
      </c>
      <c r="G179" s="152" t="str">
        <f ca="1">IF(RegimeExecucao="Global","",ORÇAMENTO!T179)</f>
        <v/>
      </c>
      <c r="H179" s="152" t="str">
        <f ca="1">IF(RegimeExecucao="Global","",ORÇAMENTO!W179)</f>
        <v/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/>
      </c>
      <c r="G180" s="152" t="str">
        <f ca="1">IF(RegimeExecucao="Global","",ORÇAMENTO!T180)</f>
        <v/>
      </c>
      <c r="H180" s="152" t="str">
        <f ca="1">IF(RegimeExecucao="Global","",ORÇAMENTO!W180)</f>
        <v/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/>
      </c>
      <c r="G181" s="152" t="str">
        <f ca="1">IF(RegimeExecucao="Global","",ORÇAMENTO!T181)</f>
        <v/>
      </c>
      <c r="H181" s="152" t="str">
        <f ca="1">IF(RegimeExecucao="Global","",ORÇAMENTO!W181)</f>
        <v/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/>
      </c>
      <c r="G182" s="152" t="str">
        <f ca="1">IF(RegimeExecucao="Global","",ORÇAMENTO!T182)</f>
        <v/>
      </c>
      <c r="H182" s="152" t="str">
        <f ca="1">IF(RegimeExecucao="Global","",ORÇAMENTO!W182)</f>
        <v/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/>
      </c>
      <c r="G183" s="152" t="str">
        <f ca="1">IF(RegimeExecucao="Global","",ORÇAMENTO!T183)</f>
        <v/>
      </c>
      <c r="H183" s="152" t="str">
        <f ca="1">IF(RegimeExecucao="Global","",ORÇAMENTO!W183)</f>
        <v/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/>
      </c>
      <c r="G184" s="152" t="str">
        <f ca="1">IF(RegimeExecucao="Global","",ORÇAMENTO!T184)</f>
        <v/>
      </c>
      <c r="H184" s="152" t="str">
        <f ca="1">IF(RegimeExecucao="Global","",ORÇAMENTO!W184)</f>
        <v/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/>
      </c>
      <c r="G185" s="152" t="str">
        <f ca="1">IF(RegimeExecucao="Global","",ORÇAMENTO!T185)</f>
        <v/>
      </c>
      <c r="H185" s="152" t="str">
        <f ca="1">IF(RegimeExecucao="Global","",ORÇAMENTO!W185)</f>
        <v/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/>
      </c>
      <c r="G186" s="152" t="str">
        <f ca="1">IF(RegimeExecucao="Global","",ORÇAMENTO!T186)</f>
        <v/>
      </c>
      <c r="H186" s="152" t="str">
        <f ca="1">IF(RegimeExecucao="Global","",ORÇAMENTO!W186)</f>
        <v/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/>
      </c>
      <c r="G187" s="152" t="str">
        <f ca="1">IF(RegimeExecucao="Global","",ORÇAMENTO!T187)</f>
        <v/>
      </c>
      <c r="H187" s="152" t="str">
        <f ca="1">IF(RegimeExecucao="Global","",ORÇAMENTO!W187)</f>
        <v/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/>
      </c>
      <c r="G188" s="152" t="str">
        <f ca="1">IF(RegimeExecucao="Global","",ORÇAMENTO!T188)</f>
        <v/>
      </c>
      <c r="H188" s="152" t="str">
        <f ca="1">IF(RegimeExecucao="Global","",ORÇAMENTO!W188)</f>
        <v/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/>
      </c>
      <c r="G189" s="152" t="str">
        <f ca="1">IF(RegimeExecucao="Global","",ORÇAMENTO!T189)</f>
        <v/>
      </c>
      <c r="H189" s="152" t="str">
        <f ca="1">IF(RegimeExecucao="Global","",ORÇAMENTO!W189)</f>
        <v/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/>
      </c>
      <c r="G190" s="152" t="str">
        <f ca="1">IF(RegimeExecucao="Global","",ORÇAMENTO!T190)</f>
        <v/>
      </c>
      <c r="H190" s="152" t="str">
        <f ca="1">IF(RegimeExecucao="Global","",ORÇAMENTO!W190)</f>
        <v/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/>
      </c>
      <c r="G191" s="152" t="str">
        <f ca="1">IF(RegimeExecucao="Global","",ORÇAMENTO!T191)</f>
        <v/>
      </c>
      <c r="H191" s="152" t="str">
        <f ca="1">IF(RegimeExecucao="Global","",ORÇAMENTO!W191)</f>
        <v/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/>
      </c>
      <c r="G192" s="152" t="str">
        <f ca="1">IF(RegimeExecucao="Global","",ORÇAMENTO!T192)</f>
        <v/>
      </c>
      <c r="H192" s="152" t="str">
        <f ca="1">IF(RegimeExecucao="Global","",ORÇAMENTO!W192)</f>
        <v/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/>
      </c>
      <c r="G193" s="152" t="str">
        <f ca="1">IF(RegimeExecucao="Global","",ORÇAMENTO!T193)</f>
        <v/>
      </c>
      <c r="H193" s="152" t="str">
        <f ca="1">IF(RegimeExecucao="Global","",ORÇAMENTO!W193)</f>
        <v/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/>
      </c>
      <c r="G194" s="152" t="str">
        <f ca="1">IF(RegimeExecucao="Global","",ORÇAMENTO!T194)</f>
        <v/>
      </c>
      <c r="H194" s="152" t="str">
        <f ca="1">IF(RegimeExecucao="Global","",ORÇAMENTO!W194)</f>
        <v/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/>
      </c>
      <c r="G195" s="152" t="str">
        <f ca="1">IF(RegimeExecucao="Global","",ORÇAMENTO!T195)</f>
        <v/>
      </c>
      <c r="H195" s="152" t="str">
        <f ca="1">IF(RegimeExecucao="Global","",ORÇAMENTO!W195)</f>
        <v/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/>
      </c>
      <c r="G196" s="152" t="str">
        <f ca="1">IF(RegimeExecucao="Global","",ORÇAMENTO!T196)</f>
        <v/>
      </c>
      <c r="H196" s="152" t="str">
        <f ca="1">IF(RegimeExecucao="Global","",ORÇAMENTO!W196)</f>
        <v/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/>
      </c>
      <c r="G197" s="152" t="str">
        <f ca="1">IF(RegimeExecucao="Global","",ORÇAMENTO!T197)</f>
        <v/>
      </c>
      <c r="H197" s="152" t="str">
        <f ca="1">IF(RegimeExecucao="Global","",ORÇAMENTO!W197)</f>
        <v/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/>
      </c>
      <c r="G198" s="152" t="str">
        <f ca="1">IF(RegimeExecucao="Global","",ORÇAMENTO!T198)</f>
        <v/>
      </c>
      <c r="H198" s="152" t="str">
        <f ca="1">IF(RegimeExecucao="Global","",ORÇAMENTO!W198)</f>
        <v/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/>
      </c>
      <c r="G199" s="152" t="str">
        <f ca="1">IF(RegimeExecucao="Global","",ORÇAMENTO!T199)</f>
        <v/>
      </c>
      <c r="H199" s="152" t="str">
        <f ca="1">IF(RegimeExecucao="Global","",ORÇAMENTO!W199)</f>
        <v/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/>
      </c>
      <c r="G200" s="152" t="str">
        <f ca="1">IF(RegimeExecucao="Global","",ORÇAMENTO!T200)</f>
        <v/>
      </c>
      <c r="H200" s="152" t="str">
        <f ca="1">IF(RegimeExecucao="Global","",ORÇAMENTO!W200)</f>
        <v/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/>
      </c>
      <c r="G201" s="152" t="str">
        <f ca="1">IF(RegimeExecucao="Global","",ORÇAMENTO!T201)</f>
        <v/>
      </c>
      <c r="H201" s="152" t="str">
        <f ca="1">IF(RegimeExecucao="Global","",ORÇAMENTO!W201)</f>
        <v/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/>
      </c>
      <c r="G202" s="152" t="str">
        <f ca="1">IF(RegimeExecucao="Global","",ORÇAMENTO!T202)</f>
        <v/>
      </c>
      <c r="H202" s="152" t="str">
        <f ca="1">IF(RegimeExecucao="Global","",ORÇAMENTO!W202)</f>
        <v/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/>
      </c>
      <c r="G203" s="152" t="str">
        <f ca="1">IF(RegimeExecucao="Global","",ORÇAMENTO!T203)</f>
        <v/>
      </c>
      <c r="H203" s="152" t="str">
        <f ca="1">IF(RegimeExecucao="Global","",ORÇAMENTO!W203)</f>
        <v/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/>
      </c>
      <c r="G204" s="152" t="str">
        <f ca="1">IF(RegimeExecucao="Global","",ORÇAMENTO!T204)</f>
        <v/>
      </c>
      <c r="H204" s="152" t="str">
        <f ca="1">IF(RegimeExecucao="Global","",ORÇAMENTO!W204)</f>
        <v/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/>
      </c>
      <c r="G205" s="152" t="str">
        <f ca="1">IF(RegimeExecucao="Global","",ORÇAMENTO!T205)</f>
        <v/>
      </c>
      <c r="H205" s="152" t="str">
        <f ca="1">IF(RegimeExecucao="Global","",ORÇAMENTO!W205)</f>
        <v/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/>
      </c>
      <c r="G206" s="152" t="str">
        <f ca="1">IF(RegimeExecucao="Global","",ORÇAMENTO!T206)</f>
        <v/>
      </c>
      <c r="H206" s="152" t="str">
        <f ca="1">IF(RegimeExecucao="Global","",ORÇAMENTO!W206)</f>
        <v/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/>
      </c>
      <c r="G207" s="152" t="str">
        <f ca="1">IF(RegimeExecucao="Global","",ORÇAMENTO!T207)</f>
        <v/>
      </c>
      <c r="H207" s="152" t="str">
        <f ca="1">IF(RegimeExecucao="Global","",ORÇAMENTO!W207)</f>
        <v/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/>
      </c>
      <c r="G208" s="152" t="str">
        <f ca="1">IF(RegimeExecucao="Global","",ORÇAMENTO!T208)</f>
        <v/>
      </c>
      <c r="H208" s="152" t="str">
        <f ca="1">IF(RegimeExecucao="Global","",ORÇAMENTO!W208)</f>
        <v/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/>
      </c>
      <c r="G209" s="152" t="str">
        <f ca="1">IF(RegimeExecucao="Global","",ORÇAMENTO!T209)</f>
        <v/>
      </c>
      <c r="H209" s="152" t="str">
        <f ca="1">IF(RegimeExecucao="Global","",ORÇAMENTO!W209)</f>
        <v/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/>
      </c>
      <c r="G210" s="152" t="str">
        <f ca="1">IF(RegimeExecucao="Global","",ORÇAMENTO!T210)</f>
        <v/>
      </c>
      <c r="H210" s="152" t="str">
        <f ca="1">IF(RegimeExecucao="Global","",ORÇAMENTO!W210)</f>
        <v/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/>
      </c>
      <c r="G211" s="152" t="str">
        <f ca="1">IF(RegimeExecucao="Global","",ORÇAMENTO!T211)</f>
        <v/>
      </c>
      <c r="H211" s="152" t="str">
        <f ca="1">IF(RegimeExecucao="Global","",ORÇAMENTO!W211)</f>
        <v/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/>
      </c>
      <c r="G212" s="152" t="str">
        <f ca="1">IF(RegimeExecucao="Global","",ORÇAMENTO!T212)</f>
        <v/>
      </c>
      <c r="H212" s="152" t="str">
        <f ca="1">IF(RegimeExecucao="Global","",ORÇAMENTO!W212)</f>
        <v/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/>
      </c>
      <c r="G213" s="152" t="str">
        <f ca="1">IF(RegimeExecucao="Global","",ORÇAMENTO!T213)</f>
        <v/>
      </c>
      <c r="H213" s="152" t="str">
        <f ca="1">IF(RegimeExecucao="Global","",ORÇAMENTO!W213)</f>
        <v/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/>
      </c>
      <c r="G214" s="152" t="str">
        <f ca="1">IF(RegimeExecucao="Global","",ORÇAMENTO!T214)</f>
        <v/>
      </c>
      <c r="H214" s="152" t="str">
        <f ca="1">IF(RegimeExecucao="Global","",ORÇAMENTO!W214)</f>
        <v/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/>
      </c>
      <c r="G215" s="152" t="str">
        <f ca="1">IF(RegimeExecucao="Global","",ORÇAMENTO!T215)</f>
        <v/>
      </c>
      <c r="H215" s="152" t="str">
        <f ca="1">IF(RegimeExecucao="Global","",ORÇAMENTO!W215)</f>
        <v/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/>
      </c>
      <c r="G216" s="152" t="str">
        <f ca="1">IF(RegimeExecucao="Global","",ORÇAMENTO!T216)</f>
        <v/>
      </c>
      <c r="H216" s="152" t="str">
        <f ca="1">IF(RegimeExecucao="Global","",ORÇAMENTO!W216)</f>
        <v/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/>
      </c>
      <c r="G217" s="152" t="str">
        <f ca="1">IF(RegimeExecucao="Global","",ORÇAMENTO!T217)</f>
        <v/>
      </c>
      <c r="H217" s="152" t="str">
        <f ca="1">IF(RegimeExecucao="Global","",ORÇAMENTO!W217)</f>
        <v/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/>
      </c>
      <c r="G218" s="152" t="str">
        <f ca="1">IF(RegimeExecucao="Global","",ORÇAMENTO!T218)</f>
        <v/>
      </c>
      <c r="H218" s="152" t="str">
        <f ca="1">IF(RegimeExecucao="Global","",ORÇAMENTO!W218)</f>
        <v/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/>
      </c>
      <c r="G219" s="152" t="str">
        <f ca="1">IF(RegimeExecucao="Global","",ORÇAMENTO!T219)</f>
        <v/>
      </c>
      <c r="H219" s="152" t="str">
        <f ca="1">IF(RegimeExecucao="Global","",ORÇAMENTO!W219)</f>
        <v/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/>
      </c>
      <c r="G220" s="152" t="str">
        <f ca="1">IF(RegimeExecucao="Global","",ORÇAMENTO!T220)</f>
        <v/>
      </c>
      <c r="H220" s="152" t="str">
        <f ca="1">IF(RegimeExecucao="Global","",ORÇAMENTO!W220)</f>
        <v/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/>
      </c>
      <c r="G221" s="152" t="str">
        <f ca="1">IF(RegimeExecucao="Global","",ORÇAMENTO!T221)</f>
        <v/>
      </c>
      <c r="H221" s="152" t="str">
        <f ca="1">IF(RegimeExecucao="Global","",ORÇAMENTO!W221)</f>
        <v/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/>
      </c>
      <c r="G222" s="152" t="str">
        <f ca="1">IF(RegimeExecucao="Global","",ORÇAMENTO!T222)</f>
        <v/>
      </c>
      <c r="H222" s="152" t="str">
        <f ca="1">IF(RegimeExecucao="Global","",ORÇAMENTO!W222)</f>
        <v/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/>
      </c>
      <c r="G223" s="152" t="str">
        <f ca="1">IF(RegimeExecucao="Global","",ORÇAMENTO!T223)</f>
        <v/>
      </c>
      <c r="H223" s="152" t="str">
        <f ca="1">IF(RegimeExecucao="Global","",ORÇAMENTO!W223)</f>
        <v/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/>
      </c>
      <c r="G224" s="152" t="str">
        <f ca="1">IF(RegimeExecucao="Global","",ORÇAMENTO!T224)</f>
        <v/>
      </c>
      <c r="H224" s="152" t="str">
        <f ca="1">IF(RegimeExecucao="Global","",ORÇAMENTO!W224)</f>
        <v/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/>
      </c>
      <c r="G225" s="152" t="str">
        <f ca="1">IF(RegimeExecucao="Global","",ORÇAMENTO!T225)</f>
        <v/>
      </c>
      <c r="H225" s="152" t="str">
        <f ca="1">IF(RegimeExecucao="Global","",ORÇAMENTO!W225)</f>
        <v/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/>
      </c>
      <c r="G226" s="152" t="str">
        <f ca="1">IF(RegimeExecucao="Global","",ORÇAMENTO!T226)</f>
        <v/>
      </c>
      <c r="H226" s="152" t="str">
        <f ca="1">IF(RegimeExecucao="Global","",ORÇAMENTO!W226)</f>
        <v/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/>
      </c>
      <c r="G227" s="152" t="str">
        <f ca="1">IF(RegimeExecucao="Global","",ORÇAMENTO!T227)</f>
        <v/>
      </c>
      <c r="H227" s="152" t="str">
        <f ca="1">IF(RegimeExecucao="Global","",ORÇAMENTO!W227)</f>
        <v/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/>
      </c>
      <c r="G228" s="152" t="str">
        <f ca="1">IF(RegimeExecucao="Global","",ORÇAMENTO!T228)</f>
        <v/>
      </c>
      <c r="H228" s="152" t="str">
        <f ca="1">IF(RegimeExecucao="Global","",ORÇAMENTO!W228)</f>
        <v/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/>
      </c>
      <c r="G229" s="152" t="str">
        <f ca="1">IF(RegimeExecucao="Global","",ORÇAMENTO!T229)</f>
        <v/>
      </c>
      <c r="H229" s="152" t="str">
        <f ca="1">IF(RegimeExecucao="Global","",ORÇAMENTO!W229)</f>
        <v/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/>
      </c>
      <c r="G230" s="152" t="str">
        <f ca="1">IF(RegimeExecucao="Global","",ORÇAMENTO!T230)</f>
        <v/>
      </c>
      <c r="H230" s="152" t="str">
        <f ca="1">IF(RegimeExecucao="Global","",ORÇAMENTO!W230)</f>
        <v/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/>
      </c>
      <c r="G231" s="152" t="str">
        <f ca="1">IF(RegimeExecucao="Global","",ORÇAMENTO!T231)</f>
        <v/>
      </c>
      <c r="H231" s="152" t="str">
        <f ca="1">IF(RegimeExecucao="Global","",ORÇAMENTO!W231)</f>
        <v/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/>
      </c>
      <c r="G232" s="152" t="str">
        <f ca="1">IF(RegimeExecucao="Global","",ORÇAMENTO!T232)</f>
        <v/>
      </c>
      <c r="H232" s="152" t="str">
        <f ca="1">IF(RegimeExecucao="Global","",ORÇAMENTO!W232)</f>
        <v/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/>
      </c>
      <c r="G233" s="152" t="str">
        <f ca="1">IF(RegimeExecucao="Global","",ORÇAMENTO!T233)</f>
        <v/>
      </c>
      <c r="H233" s="152" t="str">
        <f ca="1">IF(RegimeExecucao="Global","",ORÇAMENTO!W233)</f>
        <v/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/>
      </c>
      <c r="G234" s="152" t="str">
        <f ca="1">IF(RegimeExecucao="Global","",ORÇAMENTO!T234)</f>
        <v/>
      </c>
      <c r="H234" s="152" t="str">
        <f ca="1">IF(RegimeExecucao="Global","",ORÇAMENTO!W234)</f>
        <v/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/>
      </c>
      <c r="G235" s="152" t="str">
        <f ca="1">IF(RegimeExecucao="Global","",ORÇAMENTO!T235)</f>
        <v/>
      </c>
      <c r="H235" s="152" t="str">
        <f ca="1">IF(RegimeExecucao="Global","",ORÇAMENTO!W235)</f>
        <v/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/>
      </c>
      <c r="G236" s="152" t="str">
        <f ca="1">IF(RegimeExecucao="Global","",ORÇAMENTO!T236)</f>
        <v/>
      </c>
      <c r="H236" s="152" t="str">
        <f ca="1">IF(RegimeExecucao="Global","",ORÇAMENTO!W236)</f>
        <v/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/>
      </c>
      <c r="G237" s="152" t="str">
        <f ca="1">IF(RegimeExecucao="Global","",ORÇAMENTO!T237)</f>
        <v/>
      </c>
      <c r="H237" s="152" t="str">
        <f ca="1">IF(RegimeExecucao="Global","",ORÇAMENTO!W237)</f>
        <v/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/>
      </c>
      <c r="G238" s="152" t="str">
        <f ca="1">IF(RegimeExecucao="Global","",ORÇAMENTO!T238)</f>
        <v/>
      </c>
      <c r="H238" s="152" t="str">
        <f ca="1">IF(RegimeExecucao="Global","",ORÇAMENTO!W238)</f>
        <v/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/>
      </c>
      <c r="G239" s="152" t="str">
        <f ca="1">IF(RegimeExecucao="Global","",ORÇAMENTO!T239)</f>
        <v/>
      </c>
      <c r="H239" s="152" t="str">
        <f ca="1">IF(RegimeExecucao="Global","",ORÇAMENTO!W239)</f>
        <v/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/>
      </c>
      <c r="G240" s="152" t="str">
        <f ca="1">IF(RegimeExecucao="Global","",ORÇAMENTO!T240)</f>
        <v/>
      </c>
      <c r="H240" s="152" t="str">
        <f ca="1">IF(RegimeExecucao="Global","",ORÇAMENTO!W240)</f>
        <v/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/>
      </c>
      <c r="G241" s="152" t="str">
        <f ca="1">IF(RegimeExecucao="Global","",ORÇAMENTO!T241)</f>
        <v/>
      </c>
      <c r="H241" s="152" t="str">
        <f ca="1">IF(RegimeExecucao="Global","",ORÇAMENTO!W241)</f>
        <v/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/>
      </c>
      <c r="G242" s="152" t="str">
        <f ca="1">IF(RegimeExecucao="Global","",ORÇAMENTO!T242)</f>
        <v/>
      </c>
      <c r="H242" s="152" t="str">
        <f ca="1">IF(RegimeExecucao="Global","",ORÇAMENTO!W242)</f>
        <v/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/>
      </c>
      <c r="G243" s="152" t="str">
        <f ca="1">IF(RegimeExecucao="Global","",ORÇAMENTO!T243)</f>
        <v/>
      </c>
      <c r="H243" s="152" t="str">
        <f ca="1">IF(RegimeExecucao="Global","",ORÇAMENTO!W243)</f>
        <v/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/>
      </c>
      <c r="G244" s="152" t="str">
        <f ca="1">IF(RegimeExecucao="Global","",ORÇAMENTO!T244)</f>
        <v/>
      </c>
      <c r="H244" s="152" t="str">
        <f ca="1">IF(RegimeExecucao="Global","",ORÇAMENTO!W244)</f>
        <v/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/>
      </c>
      <c r="G245" s="152" t="str">
        <f ca="1">IF(RegimeExecucao="Global","",ORÇAMENTO!T245)</f>
        <v/>
      </c>
      <c r="H245" s="152" t="str">
        <f ca="1">IF(RegimeExecucao="Global","",ORÇAMENTO!W245)</f>
        <v/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/>
      </c>
      <c r="G246" s="152" t="str">
        <f ca="1">IF(RegimeExecucao="Global","",ORÇAMENTO!T246)</f>
        <v/>
      </c>
      <c r="H246" s="152" t="str">
        <f ca="1">IF(RegimeExecucao="Global","",ORÇAMENTO!W246)</f>
        <v/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/>
      </c>
      <c r="G247" s="152" t="str">
        <f ca="1">IF(RegimeExecucao="Global","",ORÇAMENTO!T247)</f>
        <v/>
      </c>
      <c r="H247" s="152" t="str">
        <f ca="1">IF(RegimeExecucao="Global","",ORÇAMENTO!W247)</f>
        <v/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/>
      </c>
      <c r="G248" s="152" t="str">
        <f ca="1">IF(RegimeExecucao="Global","",ORÇAMENTO!T248)</f>
        <v/>
      </c>
      <c r="H248" s="152" t="str">
        <f ca="1">IF(RegimeExecucao="Global","",ORÇAMENTO!W248)</f>
        <v/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/>
      </c>
      <c r="G249" s="152" t="str">
        <f ca="1">IF(RegimeExecucao="Global","",ORÇAMENTO!T249)</f>
        <v/>
      </c>
      <c r="H249" s="152" t="str">
        <f ca="1">IF(RegimeExecucao="Global","",ORÇAMENTO!W249)</f>
        <v/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/>
      </c>
      <c r="G250" s="152" t="str">
        <f ca="1">IF(RegimeExecucao="Global","",ORÇAMENTO!T250)</f>
        <v/>
      </c>
      <c r="H250" s="152" t="str">
        <f ca="1">IF(RegimeExecucao="Global","",ORÇAMENTO!W250)</f>
        <v/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/>
      </c>
      <c r="G251" s="152" t="str">
        <f ca="1">IF(RegimeExecucao="Global","",ORÇAMENTO!T251)</f>
        <v/>
      </c>
      <c r="H251" s="152" t="str">
        <f ca="1">IF(RegimeExecucao="Global","",ORÇAMENTO!W251)</f>
        <v/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/>
      </c>
      <c r="G252" s="152" t="str">
        <f ca="1">IF(RegimeExecucao="Global","",ORÇAMENTO!T252)</f>
        <v/>
      </c>
      <c r="H252" s="152" t="str">
        <f ca="1">IF(RegimeExecucao="Global","",ORÇAMENTO!W252)</f>
        <v/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/>
      </c>
      <c r="G253" s="152" t="str">
        <f ca="1">IF(RegimeExecucao="Global","",ORÇAMENTO!T253)</f>
        <v/>
      </c>
      <c r="H253" s="152" t="str">
        <f ca="1">IF(RegimeExecucao="Global","",ORÇAMENTO!W253)</f>
        <v/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/>
      </c>
      <c r="G254" s="152" t="str">
        <f ca="1">IF(RegimeExecucao="Global","",ORÇAMENTO!T254)</f>
        <v/>
      </c>
      <c r="H254" s="152" t="str">
        <f ca="1">IF(RegimeExecucao="Global","",ORÇAMENTO!W254)</f>
        <v/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/>
      </c>
      <c r="G255" s="152" t="str">
        <f ca="1">IF(RegimeExecucao="Global","",ORÇAMENTO!T255)</f>
        <v/>
      </c>
      <c r="H255" s="152" t="str">
        <f ca="1">IF(RegimeExecucao="Global","",ORÇAMENTO!W255)</f>
        <v/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/>
      </c>
      <c r="G256" s="152" t="str">
        <f ca="1">IF(RegimeExecucao="Global","",ORÇAMENTO!T256)</f>
        <v/>
      </c>
      <c r="H256" s="152" t="str">
        <f ca="1">IF(RegimeExecucao="Global","",ORÇAMENTO!W256)</f>
        <v/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/>
      </c>
      <c r="G257" s="152" t="str">
        <f ca="1">IF(RegimeExecucao="Global","",ORÇAMENTO!T257)</f>
        <v/>
      </c>
      <c r="H257" s="152" t="str">
        <f ca="1">IF(RegimeExecucao="Global","",ORÇAMENTO!W257)</f>
        <v/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/>
      </c>
      <c r="G258" s="152" t="str">
        <f ca="1">IF(RegimeExecucao="Global","",ORÇAMENTO!T258)</f>
        <v/>
      </c>
      <c r="H258" s="152" t="str">
        <f ca="1">IF(RegimeExecucao="Global","",ORÇAMENTO!W258)</f>
        <v/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/>
      </c>
      <c r="G259" s="152" t="str">
        <f ca="1">IF(RegimeExecucao="Global","",ORÇAMENTO!T259)</f>
        <v/>
      </c>
      <c r="H259" s="152" t="str">
        <f ca="1">IF(RegimeExecucao="Global","",ORÇAMENTO!W259)</f>
        <v/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/>
      </c>
      <c r="G260" s="152" t="str">
        <f ca="1">IF(RegimeExecucao="Global","",ORÇAMENTO!T260)</f>
        <v/>
      </c>
      <c r="H260" s="152" t="str">
        <f ca="1">IF(RegimeExecucao="Global","",ORÇAMENTO!W260)</f>
        <v/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/>
      </c>
      <c r="G261" s="152" t="str">
        <f ca="1">IF(RegimeExecucao="Global","",ORÇAMENTO!T261)</f>
        <v/>
      </c>
      <c r="H261" s="152" t="str">
        <f ca="1">IF(RegimeExecucao="Global","",ORÇAMENTO!W261)</f>
        <v/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/>
      </c>
      <c r="G262" s="152" t="str">
        <f ca="1">IF(RegimeExecucao="Global","",ORÇAMENTO!T262)</f>
        <v/>
      </c>
      <c r="H262" s="152" t="str">
        <f ca="1">IF(RegimeExecucao="Global","",ORÇAMENTO!W262)</f>
        <v/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/>
      </c>
      <c r="G263" s="152" t="str">
        <f ca="1">IF(RegimeExecucao="Global","",ORÇAMENTO!T263)</f>
        <v/>
      </c>
      <c r="H263" s="152" t="str">
        <f ca="1">IF(RegimeExecucao="Global","",ORÇAMENTO!W263)</f>
        <v/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/>
      </c>
      <c r="G264" s="152" t="str">
        <f ca="1">IF(RegimeExecucao="Global","",ORÇAMENTO!T264)</f>
        <v/>
      </c>
      <c r="H264" s="152" t="str">
        <f ca="1">IF(RegimeExecucao="Global","",ORÇAMENTO!W264)</f>
        <v/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/>
      </c>
      <c r="G265" s="152" t="str">
        <f ca="1">IF(RegimeExecucao="Global","",ORÇAMENTO!T265)</f>
        <v/>
      </c>
      <c r="H265" s="152" t="str">
        <f ca="1">IF(RegimeExecucao="Global","",ORÇAMENTO!W265)</f>
        <v/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8" t="s">
        <v>186</v>
      </c>
      <c r="E268" s="768"/>
      <c r="F268" s="768"/>
      <c r="G268" s="768"/>
      <c r="H268" s="768"/>
      <c r="I268" s="768"/>
      <c r="J268" s="768"/>
      <c r="K268" s="768"/>
      <c r="L268" s="768"/>
      <c r="M268" s="768"/>
      <c r="N268" s="768"/>
      <c r="O268" s="768"/>
      <c r="T268" s="769" t="s">
        <v>352</v>
      </c>
      <c r="U268" s="769"/>
      <c r="V268" s="769"/>
      <c r="W268" s="769"/>
      <c r="X268" s="769"/>
      <c r="Y268" s="769"/>
      <c r="Z268" s="769"/>
    </row>
    <row r="269" spans="1:41" ht="12.75" customHeight="1" x14ac:dyDescent="0.2">
      <c r="C269" s="105"/>
      <c r="D269" s="696"/>
      <c r="E269" s="696"/>
      <c r="F269" s="696"/>
      <c r="G269" s="696"/>
      <c r="H269" s="696"/>
      <c r="I269" s="696"/>
      <c r="J269" s="696"/>
      <c r="K269" s="696"/>
      <c r="L269" s="696"/>
      <c r="M269" s="696"/>
      <c r="N269" s="696"/>
      <c r="O269" s="696"/>
      <c r="T269" s="770"/>
      <c r="U269" s="770"/>
      <c r="V269" s="770"/>
      <c r="W269" s="770"/>
      <c r="X269" s="770"/>
      <c r="Y269" s="770"/>
      <c r="Z269" s="770"/>
    </row>
    <row r="270" spans="1:41" ht="12.75" customHeight="1" x14ac:dyDescent="0.2">
      <c r="C270" s="105"/>
      <c r="D270" s="696"/>
      <c r="E270" s="696"/>
      <c r="F270" s="696"/>
      <c r="G270" s="696"/>
      <c r="H270" s="696"/>
      <c r="I270" s="696"/>
      <c r="J270" s="696"/>
      <c r="K270" s="696"/>
      <c r="L270" s="696"/>
      <c r="M270" s="696"/>
      <c r="N270" s="696"/>
      <c r="O270" s="696"/>
      <c r="T270" s="770"/>
      <c r="U270" s="770"/>
      <c r="V270" s="770"/>
      <c r="W270" s="770"/>
      <c r="X270" s="770"/>
      <c r="Y270" s="770"/>
      <c r="Z270" s="770"/>
    </row>
    <row r="271" spans="1:41" ht="12.75" customHeight="1" x14ac:dyDescent="0.2">
      <c r="C271" s="105"/>
      <c r="D271" s="696"/>
      <c r="E271" s="696"/>
      <c r="F271" s="696"/>
      <c r="G271" s="696"/>
      <c r="H271" s="696"/>
      <c r="I271" s="696"/>
      <c r="J271" s="696"/>
      <c r="K271" s="696"/>
      <c r="L271" s="696"/>
      <c r="M271" s="696"/>
      <c r="N271" s="696"/>
      <c r="O271" s="696"/>
      <c r="T271" s="770"/>
      <c r="U271" s="770"/>
      <c r="V271" s="770"/>
      <c r="W271" s="770"/>
      <c r="X271" s="770"/>
      <c r="Y271" s="770"/>
      <c r="Z271" s="770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697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Preço total; Medição.</v>
      </c>
      <c r="E273" s="697"/>
      <c r="F273" s="697"/>
      <c r="G273" s="697"/>
      <c r="H273" s="697"/>
      <c r="I273" s="697"/>
      <c r="J273" s="697"/>
      <c r="K273" s="697"/>
      <c r="L273" s="697"/>
    </row>
    <row r="274" spans="3:26" x14ac:dyDescent="0.2">
      <c r="C274" s="105"/>
      <c r="D274" s="766"/>
      <c r="E274" s="766"/>
      <c r="F274" s="766"/>
      <c r="G274" s="766"/>
      <c r="H274" s="766"/>
      <c r="I274" s="766"/>
    </row>
    <row r="275" spans="3:26" x14ac:dyDescent="0.2">
      <c r="C275" s="105"/>
      <c r="D275" s="773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3"/>
      <c r="F275" s="773"/>
      <c r="G275" s="773"/>
      <c r="H275" s="773"/>
      <c r="I275" s="773"/>
      <c r="J275" s="773"/>
      <c r="K275" s="773"/>
      <c r="L275" s="773"/>
      <c r="M275" s="773"/>
      <c r="N275" s="773"/>
      <c r="O275" s="773"/>
    </row>
    <row r="276" spans="3:26" ht="39.950000000000003" customHeight="1" x14ac:dyDescent="0.2">
      <c r="C276" s="105"/>
      <c r="E276" s="175" t="str">
        <f>Import.Município</f>
        <v>CÉU AZUL</v>
      </c>
      <c r="J276" s="774"/>
      <c r="K276" s="774"/>
      <c r="L276" s="774"/>
      <c r="M276" s="774"/>
      <c r="N276" s="105"/>
      <c r="O276" s="105"/>
      <c r="W276" s="774"/>
      <c r="X276" s="774"/>
      <c r="Y276" s="774"/>
      <c r="Z276" s="774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>
        <f t="array" ref="K278:K281">Import.RespFiscalização</f>
        <v>0</v>
      </c>
      <c r="L278" s="96"/>
      <c r="M278" s="105"/>
      <c r="N278" s="105"/>
      <c r="O278" s="105"/>
      <c r="W278" s="95" t="s">
        <v>107</v>
      </c>
      <c r="X278" s="772"/>
      <c r="Y278" s="772"/>
      <c r="Z278" s="772"/>
    </row>
    <row r="279" spans="3:26" x14ac:dyDescent="0.2">
      <c r="C279" s="105"/>
      <c r="E279" s="601">
        <f ca="1">DADOS!$F$47</f>
        <v>44133</v>
      </c>
      <c r="J279" s="95" t="s">
        <v>126</v>
      </c>
      <c r="K279" s="354">
        <v>0</v>
      </c>
      <c r="L279" s="96"/>
      <c r="M279" s="105"/>
      <c r="N279" s="105"/>
      <c r="O279" s="105"/>
      <c r="W279" s="95" t="s">
        <v>354</v>
      </c>
      <c r="X279" s="772"/>
      <c r="Y279" s="772"/>
      <c r="Z279" s="772"/>
    </row>
    <row r="280" spans="3:26" x14ac:dyDescent="0.2">
      <c r="C280" s="105"/>
      <c r="E280" s="178" t="s">
        <v>188</v>
      </c>
      <c r="J280" s="95" t="s">
        <v>108</v>
      </c>
      <c r="K280" s="354">
        <v>0</v>
      </c>
      <c r="L280" s="96"/>
      <c r="M280" s="105"/>
      <c r="N280" s="105"/>
      <c r="O280" s="105"/>
      <c r="W280" s="95" t="s">
        <v>108</v>
      </c>
      <c r="X280" s="772"/>
      <c r="Y280" s="772"/>
      <c r="Z280" s="772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algorithmName="SHA-512" hashValue="0dkCCYq95Wpflkhbqi5QVgsY1xVXXkC50mT5gsCbzRihhsDoF2fN/wESA9Aservq6yvy3WDGNs4huhY15d9onw==" saltValue="4SuonKhsIn8g24dddNM+Zg==" spinCount="100000"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40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703" t="s">
        <v>146</v>
      </c>
      <c r="F3" s="703"/>
      <c r="G3" s="703"/>
      <c r="H3" s="703"/>
      <c r="I3" s="666" t="s">
        <v>440</v>
      </c>
      <c r="J3" s="666"/>
      <c r="K3" s="666"/>
      <c r="L3" s="112" t="s">
        <v>441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1" t="str">
        <f>Import.Proponente</f>
        <v>MUNICIPIO DE CÉU AZUL</v>
      </c>
      <c r="F4" s="701"/>
      <c r="G4" s="701"/>
      <c r="H4" s="701"/>
      <c r="I4" s="663">
        <f>Import.CR</f>
        <v>0</v>
      </c>
      <c r="J4" s="663"/>
      <c r="K4" s="663"/>
      <c r="L4" s="73">
        <f>Import.SICONV</f>
        <v>0</v>
      </c>
      <c r="M4" s="787" t="s">
        <v>306</v>
      </c>
      <c r="N4" s="788"/>
      <c r="O4" s="789"/>
      <c r="P4" s="449" t="str">
        <f>import.recurso</f>
        <v>OGU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66" t="s">
        <v>201</v>
      </c>
      <c r="F6" s="666"/>
      <c r="G6" s="666"/>
      <c r="H6" s="666"/>
      <c r="I6" s="775" t="s">
        <v>305</v>
      </c>
      <c r="J6" s="775"/>
      <c r="K6" s="775"/>
      <c r="L6" s="775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92" t="s">
        <v>208</v>
      </c>
      <c r="E7" s="663" t="str">
        <f>Import.Apelido</f>
        <v xml:space="preserve">CONSTRUÇÃO DE CÓPA E APOIO PARA FUNCIONÁRIOS PÁTIO DE MAQUINAS
</v>
      </c>
      <c r="F7" s="663"/>
      <c r="G7" s="663"/>
      <c r="H7" s="663"/>
      <c r="I7" s="776" t="str">
        <f>Import.Município</f>
        <v>CÉU AZUL</v>
      </c>
      <c r="J7" s="776"/>
      <c r="K7" s="776"/>
      <c r="L7" s="776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 ca="1">IF(ACOMPANHAMENTO="PLE",PLE.Medicao,BM.medicao)</f>
        <v>1</v>
      </c>
      <c r="R7" s="185"/>
      <c r="S7" s="185"/>
      <c r="T7" s="185"/>
      <c r="U7" s="185"/>
    </row>
    <row r="8" spans="1:41" x14ac:dyDescent="0.2">
      <c r="D8" s="69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92"/>
      <c r="G9" s="777" t="s">
        <v>360</v>
      </c>
      <c r="H9" s="777"/>
      <c r="I9" s="777" t="s">
        <v>361</v>
      </c>
      <c r="J9" s="777"/>
      <c r="K9" s="453"/>
      <c r="L9" s="778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92"/>
      <c r="G10" s="665" t="str">
        <f ca="1">IF(J10="-","-",IF($P$24&lt;J10,"Atrasada",IF($P$24&gt;J10,"Adiantada","Normal")))</f>
        <v>Normal</v>
      </c>
      <c r="H10" s="665"/>
      <c r="I10" s="456">
        <f>DATE(YEAR($L$35),MONTH($L$35),1)</f>
        <v>44105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778"/>
      <c r="M10" s="458">
        <f ca="1">QCI!L10</f>
        <v>0</v>
      </c>
      <c r="N10" s="365">
        <f ca="1">QCI!M10</f>
        <v>-137954.57999999999</v>
      </c>
      <c r="P10" s="455"/>
      <c r="R10" s="185"/>
      <c r="S10" s="185"/>
      <c r="T10" s="185"/>
      <c r="U10" s="185"/>
      <c r="AC10" s="779" t="s">
        <v>363</v>
      </c>
      <c r="AD10" s="779"/>
      <c r="AE10" s="779"/>
      <c r="AF10" s="779"/>
      <c r="AG10" s="779"/>
      <c r="AH10" s="779"/>
      <c r="AJ10" s="779" t="s">
        <v>4</v>
      </c>
      <c r="AK10" s="779"/>
      <c r="AL10" s="779"/>
      <c r="AM10" s="779"/>
      <c r="AN10" s="779"/>
      <c r="AO10" s="779"/>
    </row>
    <row r="11" spans="1:41" ht="20.100000000000001" customHeight="1" x14ac:dyDescent="0.2">
      <c r="D11" s="692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409</v>
      </c>
      <c r="Y11" s="780" t="str">
        <f>IF(CAIXA.Modo,"Valores Aferidos (R$)","Valores Medidos (R$)")</f>
        <v>Valores Medidos (R$)</v>
      </c>
      <c r="Z11" s="780"/>
      <c r="AC11" s="781" t="s">
        <v>364</v>
      </c>
      <c r="AD11" s="781"/>
      <c r="AE11" s="781"/>
      <c r="AF11" s="781" t="s">
        <v>365</v>
      </c>
      <c r="AG11" s="781"/>
      <c r="AH11" s="781"/>
      <c r="AJ11" s="781" t="s">
        <v>364</v>
      </c>
      <c r="AK11" s="781"/>
      <c r="AL11" s="781"/>
      <c r="AM11" s="781" t="s">
        <v>365</v>
      </c>
      <c r="AN11" s="781"/>
      <c r="AO11" s="781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234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234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234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234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234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234" t="e">
        <f ca="1">IF(ACOMPANHAMENTO&lt;&gt;"BM",0,SUMPRODUCT(OFFSET(BM!$M$15,$A12,0,$B12)*(OFFSET(BM!$A$15,$A12,0,$B12)="S")*OFFSET(ORÇAMENTO!AA$15,$A12,0,$B12)/(OFFSET(ORÇAMENTO!$X$15,$A12,0,$B12)+10^-12)))</f>
        <v>#N/A</v>
      </c>
      <c r="AK12" s="234" t="e">
        <f ca="1">IF(ACOMPANHAMENTO&lt;&gt;"BM",0,SUMPRODUCT(OFFSET(BM!$M$15,$A12,0,$B12)*(OFFSET(BM!$A$15,$A12,0,$B12)="S")*OFFSET(ORÇAMENTO!AB$15,$A12,0,$B12)/(OFFSET(ORÇAMENTO!$X$15,$A12,0,$B12)+10^-12)))</f>
        <v>#N/A</v>
      </c>
      <c r="AL12" s="234" t="e">
        <f ca="1">IF(ACOMPANHAMENTO&lt;&gt;"BM",0,OFFSET(BM!$M$15,$A12,0))</f>
        <v>#N/A</v>
      </c>
      <c r="AM12" s="234" t="e">
        <f ca="1">IF(ACOMPANHAMENTO&lt;&gt;"BM",0,SUMPRODUCT(OFFSET(BM!$O$15,$A12,0,$B12)*(OFFSET(BM!$A$15,$A12,0,$B12)="S")*OFFSET(ORÇAMENTO!AA$15,$A12,0,$B12)/(OFFSET(ORÇAMENTO!$X$15,$A12,0,$B12)+10^-12)))</f>
        <v>#N/A</v>
      </c>
      <c r="AN12" s="234" t="e">
        <f ca="1">IF(ACOMPANHAMENTO&lt;&gt;"BM",0,SUMPRODUCT(OFFSET(BM!$O$15,$A12,0,$B12)*(OFFSET(BM!$A$15,$A12,0,$B12)="S")*OFFSET(ORÇAMENTO!AB$15,$A12,0,$B12)/(OFFSET(ORÇAMENTO!$X$15,$A12,0,$B12)+10^-12)))</f>
        <v>#N/A</v>
      </c>
      <c r="AO12" s="234" t="e">
        <f ca="1">IF(ACOMPANHAMENTO&lt;&gt;"BM",0,OFFSET(BM!$O$15,$A12,0))</f>
        <v>#N/A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OBRA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137954.57999999999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234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234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234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234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234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234" t="e">
        <f ca="1">IF(ACOMPANHAMENTO&lt;&gt;"BM",0,SUMPRODUCT(OFFSET(BM!$M$15,$A15,0,$B15)*(OFFSET(BM!$A$15,$A15,0,$B15)="S")*OFFSET(ORÇAMENTO!AA$15,$A15,0,$B15)/(OFFSET(ORÇAMENTO!$X$15,$A15,0,$B15)+10^-12)))</f>
        <v>#N/A</v>
      </c>
      <c r="AK15" s="234" t="e">
        <f ca="1">IF(ACOMPANHAMENTO&lt;&gt;"BM",0,SUMPRODUCT(OFFSET(BM!$M$15,$A15,0,$B15)*(OFFSET(BM!$A$15,$A15,0,$B15)="S")*OFFSET(ORÇAMENTO!AB$15,$A15,0,$B15)/(OFFSET(ORÇAMENTO!$X$15,$A15,0,$B15)+10^-12)))</f>
        <v>#N/A</v>
      </c>
      <c r="AL15" s="234" t="e">
        <f ca="1">IF(ACOMPANHAMENTO&lt;&gt;"BM",0,OFFSET(BM!$M$15,$A15,0))</f>
        <v>#N/A</v>
      </c>
      <c r="AM15" s="234" t="e">
        <f ca="1">IF(ACOMPANHAMENTO&lt;&gt;"BM",0,SUMPRODUCT(OFFSET(BM!$O$15,$A15,0,$B15)*(OFFSET(BM!$A$15,$A15,0,$B15)="S")*OFFSET(ORÇAMENTO!AA$15,$A15,0,$B15)/(OFFSET(ORÇAMENTO!$X$15,$A15,0,$B15)+10^-12)))</f>
        <v>#N/A</v>
      </c>
      <c r="AN15" s="234" t="e">
        <f ca="1">IF(ACOMPANHAMENTO&lt;&gt;"BM",0,SUMPRODUCT(OFFSET(BM!$O$15,$A15,0,$B15)*(OFFSET(BM!$A$15,$A15,0,$B15)="S")*OFFSET(ORÇAMENTO!AB$15,$A15,0,$B15)/(OFFSET(ORÇAMENTO!$X$15,$A15,0,$B15)+10^-12)))</f>
        <v>#N/A</v>
      </c>
      <c r="AO15" s="234" t="e">
        <f ca="1">IF(ACOMPANHAMENTO&lt;&gt;"BM",0,OFFSET(BM!$O$15,$A15,0))</f>
        <v>#N/A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234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234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234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234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234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234" t="e">
        <f ca="1">IF(ACOMPANHAMENTO&lt;&gt;"BM",0,SUMPRODUCT(OFFSET(BM!$M$15,$A16,0,$B16)*(OFFSET(BM!$A$15,$A16,0,$B16)="S")*OFFSET(ORÇAMENTO!AA$15,$A16,0,$B16)/(OFFSET(ORÇAMENTO!$X$15,$A16,0,$B16)+10^-12)))</f>
        <v>#N/A</v>
      </c>
      <c r="AK16" s="234" t="e">
        <f ca="1">IF(ACOMPANHAMENTO&lt;&gt;"BM",0,SUMPRODUCT(OFFSET(BM!$M$15,$A16,0,$B16)*(OFFSET(BM!$A$15,$A16,0,$B16)="S")*OFFSET(ORÇAMENTO!AB$15,$A16,0,$B16)/(OFFSET(ORÇAMENTO!$X$15,$A16,0,$B16)+10^-12)))</f>
        <v>#N/A</v>
      </c>
      <c r="AL16" s="234" t="e">
        <f ca="1">IF(ACOMPANHAMENTO&lt;&gt;"BM",0,OFFSET(BM!$M$15,$A16,0))</f>
        <v>#N/A</v>
      </c>
      <c r="AM16" s="234" t="e">
        <f ca="1">IF(ACOMPANHAMENTO&lt;&gt;"BM",0,SUMPRODUCT(OFFSET(BM!$O$15,$A16,0,$B16)*(OFFSET(BM!$A$15,$A16,0,$B16)="S")*OFFSET(ORÇAMENTO!AA$15,$A16,0,$B16)/(OFFSET(ORÇAMENTO!$X$15,$A16,0,$B16)+10^-12)))</f>
        <v>#N/A</v>
      </c>
      <c r="AN16" s="234" t="e">
        <f ca="1">IF(ACOMPANHAMENTO&lt;&gt;"BM",0,SUMPRODUCT(OFFSET(BM!$O$15,$A16,0,$B16)*(OFFSET(BM!$A$15,$A16,0,$B16)="S")*OFFSET(ORÇAMENTO!AB$15,$A16,0,$B16)/(OFFSET(ORÇAMENTO!$X$15,$A16,0,$B16)+10^-12)))</f>
        <v>#N/A</v>
      </c>
      <c r="AO16" s="234" t="e">
        <f ca="1">IF(ACOMPANHAMENTO&lt;&gt;"BM",0,OFFSET(BM!$O$15,$A16,0))</f>
        <v>#N/A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234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234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234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234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234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234" t="e">
        <f ca="1">IF(ACOMPANHAMENTO&lt;&gt;"BM",0,SUMPRODUCT(OFFSET(BM!$M$15,$A17,0,$B17)*(OFFSET(BM!$A$15,$A17,0,$B17)="S")*OFFSET(ORÇAMENTO!AA$15,$A17,0,$B17)/(OFFSET(ORÇAMENTO!$X$15,$A17,0,$B17)+10^-12)))</f>
        <v>#N/A</v>
      </c>
      <c r="AK17" s="234" t="e">
        <f ca="1">IF(ACOMPANHAMENTO&lt;&gt;"BM",0,SUMPRODUCT(OFFSET(BM!$M$15,$A17,0,$B17)*(OFFSET(BM!$A$15,$A17,0,$B17)="S")*OFFSET(ORÇAMENTO!AB$15,$A17,0,$B17)/(OFFSET(ORÇAMENTO!$X$15,$A17,0,$B17)+10^-12)))</f>
        <v>#N/A</v>
      </c>
      <c r="AL17" s="234" t="e">
        <f ca="1">IF(ACOMPANHAMENTO&lt;&gt;"BM",0,OFFSET(BM!$M$15,$A17,0))</f>
        <v>#N/A</v>
      </c>
      <c r="AM17" s="234" t="e">
        <f ca="1">IF(ACOMPANHAMENTO&lt;&gt;"BM",0,SUMPRODUCT(OFFSET(BM!$O$15,$A17,0,$B17)*(OFFSET(BM!$A$15,$A17,0,$B17)="S")*OFFSET(ORÇAMENTO!AA$15,$A17,0,$B17)/(OFFSET(ORÇAMENTO!$X$15,$A17,0,$B17)+10^-12)))</f>
        <v>#N/A</v>
      </c>
      <c r="AN17" s="234" t="e">
        <f ca="1">IF(ACOMPANHAMENTO&lt;&gt;"BM",0,SUMPRODUCT(OFFSET(BM!$O$15,$A17,0,$B17)*(OFFSET(BM!$A$15,$A17,0,$B17)="S")*OFFSET(ORÇAMENTO!AB$15,$A17,0,$B17)/(OFFSET(ORÇAMENTO!$X$15,$A17,0,$B17)+10^-12)))</f>
        <v>#N/A</v>
      </c>
      <c r="AO17" s="234" t="e">
        <f ca="1">IF(ACOMPANHAMENTO&lt;&gt;"BM",0,OFFSET(BM!$O$15,$A17,0))</f>
        <v>#N/A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234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234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234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234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234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234" t="e">
        <f ca="1">IF(ACOMPANHAMENTO&lt;&gt;"BM",0,SUMPRODUCT(OFFSET(BM!$M$15,$A18,0,$B18)*(OFFSET(BM!$A$15,$A18,0,$B18)="S")*OFFSET(ORÇAMENTO!AA$15,$A18,0,$B18)/(OFFSET(ORÇAMENTO!$X$15,$A18,0,$B18)+10^-12)))</f>
        <v>#N/A</v>
      </c>
      <c r="AK18" s="234" t="e">
        <f ca="1">IF(ACOMPANHAMENTO&lt;&gt;"BM",0,SUMPRODUCT(OFFSET(BM!$M$15,$A18,0,$B18)*(OFFSET(BM!$A$15,$A18,0,$B18)="S")*OFFSET(ORÇAMENTO!AB$15,$A18,0,$B18)/(OFFSET(ORÇAMENTO!$X$15,$A18,0,$B18)+10^-12)))</f>
        <v>#N/A</v>
      </c>
      <c r="AL18" s="234" t="e">
        <f ca="1">IF(ACOMPANHAMENTO&lt;&gt;"BM",0,OFFSET(BM!$M$15,$A18,0))</f>
        <v>#N/A</v>
      </c>
      <c r="AM18" s="234" t="e">
        <f ca="1">IF(ACOMPANHAMENTO&lt;&gt;"BM",0,SUMPRODUCT(OFFSET(BM!$O$15,$A18,0,$B18)*(OFFSET(BM!$A$15,$A18,0,$B18)="S")*OFFSET(ORÇAMENTO!AA$15,$A18,0,$B18)/(OFFSET(ORÇAMENTO!$X$15,$A18,0,$B18)+10^-12)))</f>
        <v>#N/A</v>
      </c>
      <c r="AN18" s="234" t="e">
        <f ca="1">IF(ACOMPANHAMENTO&lt;&gt;"BM",0,SUMPRODUCT(OFFSET(BM!$O$15,$A18,0,$B18)*(OFFSET(BM!$A$15,$A18,0,$B18)="S")*OFFSET(ORÇAMENTO!AB$15,$A18,0,$B18)/(OFFSET(ORÇAMENTO!$X$15,$A18,0,$B18)+10^-12)))</f>
        <v>#N/A</v>
      </c>
      <c r="AO18" s="234" t="e">
        <f ca="1">IF(ACOMPANHAMENTO&lt;&gt;"BM",0,OFFSET(BM!$O$15,$A18,0))</f>
        <v>#N/A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234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234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234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234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234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234" t="e">
        <f ca="1">IF(ACOMPANHAMENTO&lt;&gt;"BM",0,SUMPRODUCT(OFFSET(BM!$M$15,$A19,0,$B19)*(OFFSET(BM!$A$15,$A19,0,$B19)="S")*OFFSET(ORÇAMENTO!AA$15,$A19,0,$B19)/(OFFSET(ORÇAMENTO!$X$15,$A19,0,$B19)+10^-12)))</f>
        <v>#N/A</v>
      </c>
      <c r="AK19" s="234" t="e">
        <f ca="1">IF(ACOMPANHAMENTO&lt;&gt;"BM",0,SUMPRODUCT(OFFSET(BM!$M$15,$A19,0,$B19)*(OFFSET(BM!$A$15,$A19,0,$B19)="S")*OFFSET(ORÇAMENTO!AB$15,$A19,0,$B19)/(OFFSET(ORÇAMENTO!$X$15,$A19,0,$B19)+10^-12)))</f>
        <v>#N/A</v>
      </c>
      <c r="AL19" s="234" t="e">
        <f ca="1">IF(ACOMPANHAMENTO&lt;&gt;"BM",0,OFFSET(BM!$M$15,$A19,0))</f>
        <v>#N/A</v>
      </c>
      <c r="AM19" s="234" t="e">
        <f ca="1">IF(ACOMPANHAMENTO&lt;&gt;"BM",0,SUMPRODUCT(OFFSET(BM!$O$15,$A19,0,$B19)*(OFFSET(BM!$A$15,$A19,0,$B19)="S")*OFFSET(ORÇAMENTO!AA$15,$A19,0,$B19)/(OFFSET(ORÇAMENTO!$X$15,$A19,0,$B19)+10^-12)))</f>
        <v>#N/A</v>
      </c>
      <c r="AN19" s="234" t="e">
        <f ca="1">IF(ACOMPANHAMENTO&lt;&gt;"BM",0,SUMPRODUCT(OFFSET(BM!$O$15,$A19,0,$B19)*(OFFSET(BM!$A$15,$A19,0,$B19)="S")*OFFSET(ORÇAMENTO!AB$15,$A19,0,$B19)/(OFFSET(ORÇAMENTO!$X$15,$A19,0,$B19)+10^-12)))</f>
        <v>#N/A</v>
      </c>
      <c r="AO19" s="234" t="e">
        <f ca="1">IF(ACOMPANHAMENTO&lt;&gt;"BM",0,OFFSET(BM!$O$15,$A19,0))</f>
        <v>#N/A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234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234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234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234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234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234" t="e">
        <f ca="1">IF(ACOMPANHAMENTO&lt;&gt;"BM",0,SUMPRODUCT(OFFSET(BM!$M$15,$A20,0,$B20)*(OFFSET(BM!$A$15,$A20,0,$B20)="S")*OFFSET(ORÇAMENTO!AA$15,$A20,0,$B20)/(OFFSET(ORÇAMENTO!$X$15,$A20,0,$B20)+10^-12)))</f>
        <v>#N/A</v>
      </c>
      <c r="AK20" s="234" t="e">
        <f ca="1">IF(ACOMPANHAMENTO&lt;&gt;"BM",0,SUMPRODUCT(OFFSET(BM!$M$15,$A20,0,$B20)*(OFFSET(BM!$A$15,$A20,0,$B20)="S")*OFFSET(ORÇAMENTO!AB$15,$A20,0,$B20)/(OFFSET(ORÇAMENTO!$X$15,$A20,0,$B20)+10^-12)))</f>
        <v>#N/A</v>
      </c>
      <c r="AL20" s="234" t="e">
        <f ca="1">IF(ACOMPANHAMENTO&lt;&gt;"BM",0,OFFSET(BM!$M$15,$A20,0))</f>
        <v>#N/A</v>
      </c>
      <c r="AM20" s="234" t="e">
        <f ca="1">IF(ACOMPANHAMENTO&lt;&gt;"BM",0,SUMPRODUCT(OFFSET(BM!$O$15,$A20,0,$B20)*(OFFSET(BM!$A$15,$A20,0,$B20)="S")*OFFSET(ORÇAMENTO!AA$15,$A20,0,$B20)/(OFFSET(ORÇAMENTO!$X$15,$A20,0,$B20)+10^-12)))</f>
        <v>#N/A</v>
      </c>
      <c r="AN20" s="234" t="e">
        <f ca="1">IF(ACOMPANHAMENTO&lt;&gt;"BM",0,SUMPRODUCT(OFFSET(BM!$O$15,$A20,0,$B20)*(OFFSET(BM!$A$15,$A20,0,$B20)="S")*OFFSET(ORÇAMENTO!AB$15,$A20,0,$B20)/(OFFSET(ORÇAMENTO!$X$15,$A20,0,$B20)+10^-12)))</f>
        <v>#N/A</v>
      </c>
      <c r="AO20" s="234" t="e">
        <f ca="1">IF(ACOMPANHAMENTO&lt;&gt;"BM",0,OFFSET(BM!$O$15,$A20,0))</f>
        <v>#N/A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234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234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234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234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234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234" t="e">
        <f ca="1">IF(ACOMPANHAMENTO&lt;&gt;"BM",0,SUMPRODUCT(OFFSET(BM!$M$15,$A21,0,$B21)*(OFFSET(BM!$A$15,$A21,0,$B21)="S")*OFFSET(ORÇAMENTO!AA$15,$A21,0,$B21)/(OFFSET(ORÇAMENTO!$X$15,$A21,0,$B21)+10^-12)))</f>
        <v>#N/A</v>
      </c>
      <c r="AK21" s="234" t="e">
        <f ca="1">IF(ACOMPANHAMENTO&lt;&gt;"BM",0,SUMPRODUCT(OFFSET(BM!$M$15,$A21,0,$B21)*(OFFSET(BM!$A$15,$A21,0,$B21)="S")*OFFSET(ORÇAMENTO!AB$15,$A21,0,$B21)/(OFFSET(ORÇAMENTO!$X$15,$A21,0,$B21)+10^-12)))</f>
        <v>#N/A</v>
      </c>
      <c r="AL21" s="234" t="e">
        <f ca="1">IF(ACOMPANHAMENTO&lt;&gt;"BM",0,OFFSET(BM!$M$15,$A21,0))</f>
        <v>#N/A</v>
      </c>
      <c r="AM21" s="234" t="e">
        <f ca="1">IF(ACOMPANHAMENTO&lt;&gt;"BM",0,SUMPRODUCT(OFFSET(BM!$O$15,$A21,0,$B21)*(OFFSET(BM!$A$15,$A21,0,$B21)="S")*OFFSET(ORÇAMENTO!AA$15,$A21,0,$B21)/(OFFSET(ORÇAMENTO!$X$15,$A21,0,$B21)+10^-12)))</f>
        <v>#N/A</v>
      </c>
      <c r="AN21" s="234" t="e">
        <f ca="1">IF(ACOMPANHAMENTO&lt;&gt;"BM",0,SUMPRODUCT(OFFSET(BM!$O$15,$A21,0,$B21)*(OFFSET(BM!$A$15,$A21,0,$B21)="S")*OFFSET(ORÇAMENTO!AB$15,$A21,0,$B21)/(OFFSET(ORÇAMENTO!$X$15,$A21,0,$B21)+10^-12)))</f>
        <v>#N/A</v>
      </c>
      <c r="AO21" s="234" t="e">
        <f ca="1">IF(ACOMPANHAMENTO&lt;&gt;"BM",0,OFFSET(BM!$O$15,$A21,0))</f>
        <v>#N/A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234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234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234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234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234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234" t="e">
        <f ca="1">IF(ACOMPANHAMENTO&lt;&gt;"BM",0,SUMPRODUCT(OFFSET(BM!$M$15,$A22,0,$B22)*(OFFSET(BM!$A$15,$A22,0,$B22)="S")*OFFSET(ORÇAMENTO!AA$15,$A22,0,$B22)/(OFFSET(ORÇAMENTO!$X$15,$A22,0,$B22)+10^-12)))</f>
        <v>#N/A</v>
      </c>
      <c r="AK22" s="234" t="e">
        <f ca="1">IF(ACOMPANHAMENTO&lt;&gt;"BM",0,SUMPRODUCT(OFFSET(BM!$M$15,$A22,0,$B22)*(OFFSET(BM!$A$15,$A22,0,$B22)="S")*OFFSET(ORÇAMENTO!AB$15,$A22,0,$B22)/(OFFSET(ORÇAMENTO!$X$15,$A22,0,$B22)+10^-12)))</f>
        <v>#N/A</v>
      </c>
      <c r="AL22" s="234" t="e">
        <f ca="1">IF(ACOMPANHAMENTO&lt;&gt;"BM",0,OFFSET(BM!$M$15,$A22,0))</f>
        <v>#N/A</v>
      </c>
      <c r="AM22" s="234" t="e">
        <f ca="1">IF(ACOMPANHAMENTO&lt;&gt;"BM",0,SUMPRODUCT(OFFSET(BM!$O$15,$A22,0,$B22)*(OFFSET(BM!$A$15,$A22,0,$B22)="S")*OFFSET(ORÇAMENTO!AA$15,$A22,0,$B22)/(OFFSET(ORÇAMENTO!$X$15,$A22,0,$B22)+10^-12)))</f>
        <v>#N/A</v>
      </c>
      <c r="AN22" s="234" t="e">
        <f ca="1">IF(ACOMPANHAMENTO&lt;&gt;"BM",0,SUMPRODUCT(OFFSET(BM!$O$15,$A22,0,$B22)*(OFFSET(BM!$A$15,$A22,0,$B22)="S")*OFFSET(ORÇAMENTO!AB$15,$A22,0,$B22)/(OFFSET(ORÇAMENTO!$X$15,$A22,0,$B22)+10^-12)))</f>
        <v>#N/A</v>
      </c>
      <c r="AO22" s="234" t="e">
        <f ca="1">IF(ACOMPANHAMENTO&lt;&gt;"BM",0,OFFSET(BM!$O$15,$A22,0))</f>
        <v>#N/A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234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234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234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234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234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234" t="e">
        <f ca="1">IF(ACOMPANHAMENTO&lt;&gt;"BM",0,SUMPRODUCT(OFFSET(BM!$M$15,$A23,0,$B23)*(OFFSET(BM!$A$15,$A23,0,$B23)="S")*OFFSET(ORÇAMENTO!AA$15,$A23,0,$B23)/(OFFSET(ORÇAMENTO!$X$15,$A23,0,$B23)+10^-12)))</f>
        <v>#N/A</v>
      </c>
      <c r="AK23" s="234" t="e">
        <f ca="1">IF(ACOMPANHAMENTO&lt;&gt;"BM",0,SUMPRODUCT(OFFSET(BM!$M$15,$A23,0,$B23)*(OFFSET(BM!$A$15,$A23,0,$B23)="S")*OFFSET(ORÇAMENTO!AB$15,$A23,0,$B23)/(OFFSET(ORÇAMENTO!$X$15,$A23,0,$B23)+10^-12)))</f>
        <v>#N/A</v>
      </c>
      <c r="AL23" s="234" t="e">
        <f ca="1">IF(ACOMPANHAMENTO&lt;&gt;"BM",0,OFFSET(BM!$M$15,$A23,0))</f>
        <v>#N/A</v>
      </c>
      <c r="AM23" s="234" t="e">
        <f ca="1">IF(ACOMPANHAMENTO&lt;&gt;"BM",0,SUMPRODUCT(OFFSET(BM!$O$15,$A23,0,$B23)*(OFFSET(BM!$A$15,$A23,0,$B23)="S")*OFFSET(ORÇAMENTO!AA$15,$A23,0,$B23)/(OFFSET(ORÇAMENTO!$X$15,$A23,0,$B23)+10^-12)))</f>
        <v>#N/A</v>
      </c>
      <c r="AN23" s="234" t="e">
        <f ca="1">IF(ACOMPANHAMENTO&lt;&gt;"BM",0,SUMPRODUCT(OFFSET(BM!$O$15,$A23,0,$B23)*(OFFSET(BM!$A$15,$A23,0,$B23)="S")*OFFSET(ORÇAMENTO!AB$15,$A23,0,$B23)/(OFFSET(ORÇAMENTO!$X$15,$A23,0,$B23)+10^-12)))</f>
        <v>#N/A</v>
      </c>
      <c r="AO23" s="234" t="e">
        <f ca="1">IF(ACOMPANHAMENTO&lt;&gt;"BM",0,OFFSET(BM!$O$15,$A23,0))</f>
        <v>#N/A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7" t="s">
        <v>375</v>
      </c>
      <c r="K24" s="798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99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800" t="str">
        <f>IF(import.recurso="FGTS","Financiamento","Repasse")</f>
        <v>Repasse</v>
      </c>
      <c r="K25" s="801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99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802" t="s">
        <v>380</v>
      </c>
      <c r="K26" s="803"/>
      <c r="L26" s="490">
        <f ca="1">QCI!M24</f>
        <v>137954.57999999999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99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82" t="s">
        <v>357</v>
      </c>
      <c r="K27" s="78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99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84" t="s">
        <v>359</v>
      </c>
      <c r="K28" s="785"/>
      <c r="L28" s="501">
        <f ca="1">SUM(L13:OFFSET(L24,-1,0))</f>
        <v>137954.57999999999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99"/>
      <c r="X28" s="505"/>
      <c r="Y28" s="506"/>
      <c r="Z28" s="507"/>
    </row>
    <row r="29" spans="1:41" x14ac:dyDescent="0.2">
      <c r="O29" s="786" t="str">
        <f ca="1">"Acumulado Anterior:  "&amp;TEXT($M$28/($L$28+10^-12),"0,00%")</f>
        <v>Acumulado Anterior:  0,00%</v>
      </c>
      <c r="P29" s="78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90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2"/>
      <c r="R31" s="106"/>
      <c r="S31" s="106"/>
      <c r="T31" s="106"/>
      <c r="U31" s="106"/>
    </row>
    <row r="32" spans="1:41" ht="12.75" customHeight="1" x14ac:dyDescent="0.2">
      <c r="E32" s="790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2"/>
      <c r="R32" s="106"/>
      <c r="S32" s="106"/>
      <c r="T32" s="106"/>
      <c r="U32" s="106"/>
      <c r="Y32" s="508"/>
      <c r="Z32" s="508"/>
    </row>
    <row r="33" spans="5:21" ht="12.75" customHeight="1" x14ac:dyDescent="0.2">
      <c r="E33" s="793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5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698" t="str">
        <f>Import.Município</f>
        <v>CÉU AZUL</v>
      </c>
      <c r="F35" s="698"/>
      <c r="G35" s="698"/>
      <c r="I35" s="509"/>
      <c r="J35" s="101"/>
      <c r="L35" s="721">
        <f>DADOS!$F$25</f>
        <v>44110</v>
      </c>
      <c r="M35" s="721"/>
      <c r="N35" s="721"/>
      <c r="O35" s="721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GERMANO BONAMIGO</v>
      </c>
      <c r="L40" s="95" t="s">
        <v>107</v>
      </c>
      <c r="M40" s="796">
        <f>IF(CAIXA.Modo,BM!X278,DADOS!F50)</f>
        <v>0</v>
      </c>
      <c r="N40" s="796"/>
      <c r="O40" s="796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 t="str">
        <f>IF(CAIXA.Modo,DADOS!F60,DADOS!F29)</f>
        <v>PREFEITO MUNICIPAL</v>
      </c>
      <c r="L41" s="95" t="str">
        <f>IF(CAIXA.Modo,"Matrícula:","Profissão:")</f>
        <v>Profissão:</v>
      </c>
      <c r="M41" s="796">
        <f>IF(CAIXA.Modo,BM!X279,DADOS!F51)</f>
        <v>0</v>
      </c>
      <c r="N41" s="796"/>
      <c r="O41" s="796"/>
      <c r="R41" s="106"/>
      <c r="S41" s="106"/>
      <c r="T41" s="106"/>
      <c r="U41" s="106"/>
    </row>
    <row r="42" spans="5:21" x14ac:dyDescent="0.2">
      <c r="L42" s="95" t="s">
        <v>108</v>
      </c>
      <c r="M42" s="796">
        <f>IF(CAIXA.Modo,BM!X280,DADOS!F52)</f>
        <v>0</v>
      </c>
      <c r="N42" s="796"/>
      <c r="O42" s="796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72"/>
      <c r="G47" s="772"/>
      <c r="L47" s="95" t="s">
        <v>107</v>
      </c>
      <c r="M47" s="772"/>
      <c r="N47" s="772"/>
      <c r="O47" s="772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72"/>
      <c r="G48" s="772"/>
      <c r="L48" s="95" t="str">
        <f>IF(CAIXA.Modo,"Função:","Cargo:")</f>
        <v>Cargo:</v>
      </c>
      <c r="M48" s="772"/>
      <c r="N48" s="772"/>
      <c r="O48" s="772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72"/>
      <c r="G49" s="772"/>
      <c r="L49" s="95" t="str">
        <f>IF(CAIXA.Modo,"Matrícula:","")</f>
        <v/>
      </c>
      <c r="M49" s="772"/>
      <c r="N49" s="772"/>
      <c r="O49" s="772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algorithmName="SHA-512" hashValue="CbjcVleFtAMbErpjl/Y9hAz7X91eOnhsWk+adTs3bEwGqHwj/cq8rBz5w3C0wlDO1aXtcLc1IBlYsqSMLPRGWw==" saltValue="ZmW8CKBwR4eWo0bxiFFwVA==" spinCount="100000"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40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8"/>
      <c r="C1" s="808"/>
      <c r="D1" s="66"/>
      <c r="E1" s="66"/>
      <c r="F1" s="66"/>
      <c r="G1" s="656" t="s">
        <v>139</v>
      </c>
    </row>
    <row r="2" spans="2:17" x14ac:dyDescent="0.2">
      <c r="B2" s="808"/>
      <c r="C2" s="808"/>
      <c r="D2" s="511"/>
      <c r="E2" s="511"/>
      <c r="F2" s="511"/>
      <c r="G2" s="657" t="s">
        <v>381</v>
      </c>
    </row>
    <row r="3" spans="2:17" ht="26.1" customHeight="1" x14ac:dyDescent="0.2">
      <c r="B3" s="808"/>
      <c r="C3" s="808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08"/>
      <c r="C4" s="808"/>
      <c r="D4" s="511"/>
      <c r="E4" s="511"/>
      <c r="F4" s="511"/>
      <c r="G4" s="511"/>
      <c r="I4" s="809" t="s">
        <v>383</v>
      </c>
      <c r="J4" s="804" t="s">
        <v>384</v>
      </c>
      <c r="K4" s="804" t="s">
        <v>385</v>
      </c>
      <c r="L4" s="804" t="s">
        <v>386</v>
      </c>
    </row>
    <row r="5" spans="2:17" x14ac:dyDescent="0.2">
      <c r="I5" s="809"/>
      <c r="J5" s="804"/>
      <c r="K5" s="804"/>
      <c r="L5" s="804"/>
    </row>
    <row r="6" spans="2:17" x14ac:dyDescent="0.2">
      <c r="B6" s="636" t="s">
        <v>387</v>
      </c>
      <c r="C6" s="805"/>
      <c r="D6" s="805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137954.57999999999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06" t="str">
        <f>CONCATENATE(RRE!$E$35,", ",TEXT(RRE!$L$35,"dd"" de ""mmmm"" de ""aaaa"))</f>
        <v>CÉU AZUL, 06 de outubro de 2020</v>
      </c>
      <c r="C8" s="806"/>
      <c r="D8" s="806"/>
      <c r="E8" s="806"/>
      <c r="F8" s="806"/>
      <c r="G8" s="806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07" t="s">
        <v>389</v>
      </c>
      <c r="C10" s="807"/>
      <c r="D10" s="807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442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07" t="str">
        <f ca="1">CONCATENATE(RRE.Numero,"ª"," Solicitação de ",IF(import.recurso="OGU","Desbloqueio","Desembolso")," de Recursos.")</f>
        <v>1ª Solicitação de Desbloqueio de Recursos.</v>
      </c>
      <c r="D14" s="807"/>
      <c r="E14" s="807"/>
      <c r="F14" s="807"/>
      <c r="G14" s="807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5" t="str">
        <f>CONCATENATE("Contrato de ",IF(import.recurso="OGU","Repasse","Financiamento")," - Operação nº ",Import.CR,IF(Import.SICONV="","",CONCATENATE(" - SICONV nº ",Import.SICONV)))</f>
        <v xml:space="preserve">Contrato de Repasse - Operação nº </v>
      </c>
      <c r="D15" s="815"/>
      <c r="E15" s="815"/>
      <c r="F15" s="815"/>
      <c r="G15" s="815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5"/>
      <c r="D16" s="815"/>
      <c r="E16" s="815"/>
      <c r="F16" s="815"/>
      <c r="G16" s="815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6" t="str">
        <f>Import.DescLote</f>
        <v>CONSTRUÇÃO DE CÓPA E APOIO PARA FUNCIONÁRIOS PÁTIO DE MAQUINAS</v>
      </c>
      <c r="D18" s="816"/>
      <c r="E18" s="816"/>
      <c r="F18" s="816"/>
      <c r="G18" s="816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desbloqueio da parcela de recursos relativa ao Contrato de Repasse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7" t="s">
        <v>394</v>
      </c>
      <c r="E28" s="817" t="str">
        <f ca="1">"Evolução da "&amp;RRE.Numero&amp;"ª Medição"</f>
        <v>Evolução da 1ª Medição</v>
      </c>
      <c r="F28" s="817" t="s">
        <v>395</v>
      </c>
      <c r="G28" s="817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7"/>
      <c r="E29" s="817"/>
      <c r="F29" s="817"/>
      <c r="G29" s="817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18" t="str">
        <f>IF(import.recurso="FGTS","Financiamento:","Repasse:")</f>
        <v>Repasse:</v>
      </c>
      <c r="C30" s="818"/>
      <c r="D30" s="648">
        <f ca="1">RRE!L25</f>
        <v>0</v>
      </c>
      <c r="E30" s="648">
        <f ca="1">RRE!N25</f>
        <v>0</v>
      </c>
      <c r="F30" s="819">
        <f ca="1">RRE!O25</f>
        <v>0</v>
      </c>
      <c r="G30" s="819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18" t="s">
        <v>396</v>
      </c>
      <c r="C31" s="818"/>
      <c r="D31" s="648">
        <f ca="1">RRE!L26</f>
        <v>137954.57999999999</v>
      </c>
      <c r="E31" s="648">
        <f ca="1">RRE!N26</f>
        <v>0</v>
      </c>
      <c r="F31" s="819">
        <f ca="1">RRE!O26</f>
        <v>0</v>
      </c>
      <c r="G31" s="819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18" t="s">
        <v>284</v>
      </c>
      <c r="C32" s="818"/>
      <c r="D32" s="648">
        <f ca="1">RRE!L27</f>
        <v>0</v>
      </c>
      <c r="E32" s="648">
        <f ca="1">RRE!N27</f>
        <v>0</v>
      </c>
      <c r="F32" s="819">
        <f ca="1">RRE!O27</f>
        <v>0</v>
      </c>
      <c r="G32" s="819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18" t="s">
        <v>285</v>
      </c>
      <c r="C33" s="818"/>
      <c r="D33" s="648">
        <f ca="1">RRE!L28</f>
        <v>137954.57999999999</v>
      </c>
      <c r="E33" s="648">
        <f ca="1">RRE!N28</f>
        <v>0</v>
      </c>
      <c r="F33" s="819">
        <f ca="1">RRE!O28</f>
        <v>0</v>
      </c>
      <c r="G33" s="819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18" t="s">
        <v>397</v>
      </c>
      <c r="C34" s="818"/>
      <c r="D34" s="649" t="s">
        <v>165</v>
      </c>
      <c r="E34" s="650">
        <f ca="1">RRE!$N$28/(RRE!$L$28+10^-12)</f>
        <v>0</v>
      </c>
      <c r="F34" s="822">
        <f ca="1">RRE!P24</f>
        <v>0</v>
      </c>
      <c r="G34" s="822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23" t="str">
        <f ca="1">IF(RRE.Numero&gt;1,"2. Encaminhamos ainda a documentação relativa à prestação de contas da etapa físico-financeira anterior.","")</f>
        <v/>
      </c>
      <c r="C37" s="823"/>
      <c r="D37" s="823"/>
      <c r="E37" s="823"/>
      <c r="F37" s="823"/>
      <c r="G37" s="823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23"/>
      <c r="C38" s="823"/>
      <c r="D38" s="823"/>
      <c r="E38" s="823"/>
      <c r="F38" s="823"/>
      <c r="G38" s="823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23" t="str">
        <f ca="1">IF(AND(RRE.Numero&gt;1,NOT(ISBLANK(Import.SICONV))),"3. Na oportunidade, informamos que a execução financeira da parcela anterior está devidamente comprovada no SICONV.","")</f>
        <v/>
      </c>
      <c r="C39" s="823"/>
      <c r="D39" s="823"/>
      <c r="E39" s="823"/>
      <c r="F39" s="823"/>
      <c r="G39" s="823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23"/>
      <c r="C40" s="823"/>
      <c r="D40" s="823"/>
      <c r="E40" s="823"/>
      <c r="F40" s="823"/>
      <c r="G40" s="823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23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3"/>
      <c r="D42" s="823"/>
      <c r="E42" s="823"/>
      <c r="F42" s="823"/>
      <c r="G42" s="823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23"/>
      <c r="C43" s="823"/>
      <c r="D43" s="823"/>
      <c r="E43" s="823"/>
      <c r="F43" s="823"/>
      <c r="G43" s="823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23"/>
      <c r="C44" s="823"/>
      <c r="D44" s="823"/>
      <c r="E44" s="823"/>
      <c r="F44" s="823"/>
      <c r="G44" s="823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23"/>
      <c r="C45" s="823"/>
      <c r="D45" s="823"/>
      <c r="E45" s="823"/>
      <c r="F45" s="823"/>
      <c r="G45" s="823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23"/>
      <c r="C46" s="823"/>
      <c r="D46" s="823"/>
      <c r="E46" s="823"/>
      <c r="F46" s="823"/>
      <c r="G46" s="823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20" t="str">
        <f>DADOS!$F$28</f>
        <v>GERMANO BONAMIGO</v>
      </c>
      <c r="C54" s="820"/>
      <c r="D54" s="820"/>
      <c r="E54" s="820"/>
      <c r="F54" s="820"/>
      <c r="G54" s="820"/>
    </row>
    <row r="55" spans="2:7" x14ac:dyDescent="0.2">
      <c r="B55" s="820" t="str">
        <f>DADOS!$F$29</f>
        <v>PREFEITO MUNICIPAL</v>
      </c>
      <c r="C55" s="820"/>
      <c r="D55" s="820"/>
      <c r="E55" s="820"/>
      <c r="F55" s="820"/>
      <c r="G55" s="820"/>
    </row>
    <row r="56" spans="2:7" x14ac:dyDescent="0.2">
      <c r="B56" s="821"/>
      <c r="C56" s="821"/>
      <c r="D56" s="821"/>
      <c r="E56" s="821"/>
      <c r="F56" s="821"/>
      <c r="G56" s="821"/>
    </row>
    <row r="57" spans="2:7" x14ac:dyDescent="0.2">
      <c r="B57" s="647"/>
      <c r="C57" s="647"/>
      <c r="D57" s="647"/>
      <c r="E57" s="647"/>
      <c r="F57" s="647"/>
      <c r="G57" s="647"/>
    </row>
  </sheetData>
  <sheetProtection algorithmName="SHA-512" hashValue="yzOkp7MCajA1jX6hBlmN7FnwRsEhHfreVITMHNJS1alO60oKTZnvLbyVQ0A41QuZ2wIJhT8mmABRYgCMKUptCA==" saltValue="dY+O8+VgPfWnuVN26HhxhQ==" spinCount="100000"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40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Francielly</cp:lastModifiedBy>
  <cp:revision>5</cp:revision>
  <cp:lastPrinted>2020-10-29T14:40:00Z</cp:lastPrinted>
  <dcterms:created xsi:type="dcterms:W3CDTF">1997-01-10T22:22:50Z</dcterms:created>
  <dcterms:modified xsi:type="dcterms:W3CDTF">2020-10-29T14:40:06Z</dcterms:modified>
</cp:coreProperties>
</file>